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1715" windowHeight="7500"/>
  </bookViews>
  <sheets>
    <sheet name="Ej 1" sheetId="1" r:id="rId1"/>
    <sheet name="Ej 2" sheetId="4" r:id="rId2"/>
    <sheet name="Ej 3" sheetId="5" r:id="rId3"/>
    <sheet name="Ej 4" sheetId="6" r:id="rId4"/>
    <sheet name="Ej 5" sheetId="7" r:id="rId5"/>
    <sheet name="Ej 6" sheetId="8" r:id="rId6"/>
    <sheet name="Ej 7" sheetId="9" r:id="rId7"/>
    <sheet name="Ej 8" sheetId="10" r:id="rId8"/>
  </sheets>
  <calcPr calcId="144525"/>
</workbook>
</file>

<file path=xl/calcChain.xml><?xml version="1.0" encoding="utf-8"?>
<calcChain xmlns="http://schemas.openxmlformats.org/spreadsheetml/2006/main">
  <c r="B68" i="10" l="1"/>
  <c r="D68" i="10" s="1"/>
  <c r="D67" i="10"/>
  <c r="D54" i="10"/>
  <c r="C10" i="10"/>
  <c r="D12" i="10" s="1"/>
  <c r="D40" i="10"/>
  <c r="C45" i="10" s="1"/>
  <c r="C48" i="10" s="1"/>
  <c r="D34" i="10"/>
  <c r="C52" i="10" s="1"/>
  <c r="D55" i="10" s="1"/>
  <c r="I74" i="9"/>
  <c r="H66" i="9"/>
  <c r="I76" i="9"/>
  <c r="I78" i="9" s="1"/>
  <c r="I81" i="9" s="1"/>
  <c r="J65" i="9"/>
  <c r="D55" i="9"/>
  <c r="C74" i="9"/>
  <c r="B67" i="9"/>
  <c r="C76" i="9"/>
  <c r="C78" i="9" s="1"/>
  <c r="C81" i="9" s="1"/>
  <c r="B66" i="9"/>
  <c r="D67" i="9" s="1"/>
  <c r="D65" i="9"/>
  <c r="D53" i="9"/>
  <c r="B10" i="9"/>
  <c r="B9" i="9"/>
  <c r="B8" i="9"/>
  <c r="D38" i="9"/>
  <c r="C43" i="9" s="1"/>
  <c r="D32" i="9"/>
  <c r="C50" i="9" s="1"/>
  <c r="D41" i="8"/>
  <c r="D27" i="8"/>
  <c r="C32" i="8" s="1"/>
  <c r="C34" i="8" s="1"/>
  <c r="D21" i="8"/>
  <c r="C38" i="8" s="1"/>
  <c r="D30" i="7"/>
  <c r="B39" i="7"/>
  <c r="E26" i="7"/>
  <c r="F26" i="7" s="1"/>
  <c r="E27" i="7"/>
  <c r="E25" i="7"/>
  <c r="D24" i="7"/>
  <c r="D23" i="7"/>
  <c r="D22" i="7"/>
  <c r="D21" i="7"/>
  <c r="D20" i="7"/>
  <c r="C20" i="7"/>
  <c r="B38" i="7"/>
  <c r="D38" i="7" s="1"/>
  <c r="D37" i="7"/>
  <c r="D62" i="6"/>
  <c r="H12" i="6"/>
  <c r="H13" i="6"/>
  <c r="H14" i="6"/>
  <c r="H15" i="6"/>
  <c r="H11" i="6"/>
  <c r="C19" i="6" s="1"/>
  <c r="D22" i="6" s="1"/>
  <c r="D12" i="6"/>
  <c r="D13" i="6"/>
  <c r="D14" i="6"/>
  <c r="D15" i="6"/>
  <c r="D16" i="6"/>
  <c r="D11" i="6"/>
  <c r="D48" i="6"/>
  <c r="C53" i="6" s="1"/>
  <c r="C55" i="6" s="1"/>
  <c r="D42" i="6"/>
  <c r="C59" i="6" s="1"/>
  <c r="D19" i="5"/>
  <c r="D59" i="5"/>
  <c r="D58" i="5"/>
  <c r="D60" i="5"/>
  <c r="C56" i="5"/>
  <c r="C52" i="5"/>
  <c r="C50" i="5"/>
  <c r="D45" i="5"/>
  <c r="D39" i="5"/>
  <c r="D20" i="5"/>
  <c r="D22" i="5" s="1"/>
  <c r="C24" i="5" s="1"/>
  <c r="D18" i="5"/>
  <c r="C16" i="5"/>
  <c r="D13" i="10" l="1"/>
  <c r="D56" i="10"/>
  <c r="C76" i="10" s="1"/>
  <c r="C78" i="10" s="1"/>
  <c r="C80" i="10" s="1"/>
  <c r="C83" i="10" s="1"/>
  <c r="D14" i="10"/>
  <c r="D69" i="10"/>
  <c r="D71" i="10" s="1"/>
  <c r="B83" i="10" s="1"/>
  <c r="D16" i="10"/>
  <c r="C18" i="10" s="1"/>
  <c r="J66" i="9"/>
  <c r="J69" i="9" s="1"/>
  <c r="H81" i="9" s="1"/>
  <c r="G81" i="9" s="1"/>
  <c r="D45" i="9" s="1"/>
  <c r="C46" i="9" s="1"/>
  <c r="D66" i="9"/>
  <c r="D69" i="9" s="1"/>
  <c r="B81" i="9" s="1"/>
  <c r="A81" i="9" s="1"/>
  <c r="D52" i="9"/>
  <c r="D54" i="9"/>
  <c r="D40" i="8"/>
  <c r="D42" i="8"/>
  <c r="C46" i="7"/>
  <c r="C48" i="7" s="1"/>
  <c r="C50" i="7" s="1"/>
  <c r="C53" i="7" s="1"/>
  <c r="D39" i="7"/>
  <c r="D41" i="7" s="1"/>
  <c r="B53" i="7" s="1"/>
  <c r="D23" i="6"/>
  <c r="D63" i="6"/>
  <c r="D61" i="6"/>
  <c r="D21" i="6"/>
  <c r="D62" i="5"/>
  <c r="C64" i="5" s="1"/>
  <c r="D17" i="4"/>
  <c r="D18" i="4" s="1"/>
  <c r="C19" i="4" s="1"/>
  <c r="A42" i="4"/>
  <c r="C42" i="4"/>
  <c r="B42" i="4"/>
  <c r="C39" i="4"/>
  <c r="C37" i="4"/>
  <c r="C35" i="4"/>
  <c r="D30" i="4"/>
  <c r="D29" i="4"/>
  <c r="B29" i="4"/>
  <c r="D28" i="4"/>
  <c r="B28" i="4"/>
  <c r="D27" i="4"/>
  <c r="B27" i="4"/>
  <c r="D26" i="4"/>
  <c r="D15" i="4"/>
  <c r="E15" i="4"/>
  <c r="D16" i="4"/>
  <c r="D14" i="4"/>
  <c r="D35" i="1"/>
  <c r="E33" i="1"/>
  <c r="E31" i="1"/>
  <c r="E30" i="1"/>
  <c r="E29" i="1"/>
  <c r="D27" i="1"/>
  <c r="D23" i="1"/>
  <c r="D24" i="1"/>
  <c r="D25" i="1"/>
  <c r="D26" i="1"/>
  <c r="D22" i="1"/>
  <c r="C26" i="1"/>
  <c r="C25" i="1"/>
  <c r="C24" i="1"/>
  <c r="C23" i="1"/>
  <c r="C22" i="1"/>
  <c r="B26" i="1"/>
  <c r="B25" i="1"/>
  <c r="B24" i="1"/>
  <c r="B23" i="1"/>
  <c r="B22" i="1"/>
  <c r="C18" i="1"/>
  <c r="D18" i="1"/>
  <c r="E18" i="1"/>
  <c r="F18" i="1"/>
  <c r="B18" i="1"/>
  <c r="C10" i="1"/>
  <c r="C9" i="1"/>
  <c r="C8" i="1"/>
  <c r="C7" i="1"/>
  <c r="A83" i="10" l="1"/>
  <c r="D58" i="10"/>
  <c r="C60" i="10" s="1"/>
  <c r="D56" i="9"/>
  <c r="C58" i="9" s="1"/>
  <c r="D44" i="8"/>
  <c r="C46" i="8" s="1"/>
  <c r="A53" i="7"/>
  <c r="E28" i="7" s="1"/>
  <c r="E29" i="7" s="1"/>
  <c r="D25" i="6"/>
  <c r="C27" i="6" s="1"/>
  <c r="D65" i="6"/>
  <c r="C67" i="6" s="1"/>
</calcChain>
</file>

<file path=xl/sharedStrings.xml><?xml version="1.0" encoding="utf-8"?>
<sst xmlns="http://schemas.openxmlformats.org/spreadsheetml/2006/main" count="431" uniqueCount="188">
  <si>
    <t>EJERCICIO 1</t>
  </si>
  <si>
    <t>SOLUCION: MAS EJERCICIOS LIQUIDACION DE SUELDOS</t>
  </si>
  <si>
    <t>Valor Jornal:</t>
  </si>
  <si>
    <t>Valor HE:</t>
  </si>
  <si>
    <t>Valor HEEsp:</t>
  </si>
  <si>
    <t>Valor Hora :</t>
  </si>
  <si>
    <t>+940/8</t>
  </si>
  <si>
    <t>Jornalero, Lun a Vie 8 hs</t>
  </si>
  <si>
    <t>VHs x 2</t>
  </si>
  <si>
    <t>VHs x 2,5</t>
  </si>
  <si>
    <t>En Mayo:</t>
  </si>
  <si>
    <t>1 sabado 5 hs</t>
  </si>
  <si>
    <t>1 domingo 10 hs</t>
  </si>
  <si>
    <t>1º/5 = 9 hs</t>
  </si>
  <si>
    <t>2 viernes 10 hs</t>
  </si>
  <si>
    <t>18 jornales</t>
  </si>
  <si>
    <t>jornales</t>
  </si>
  <si>
    <t>HE</t>
  </si>
  <si>
    <t>HEE</t>
  </si>
  <si>
    <t>Desc.Trab</t>
  </si>
  <si>
    <t>Desc.Trabajado</t>
  </si>
  <si>
    <t>Jornal x 2</t>
  </si>
  <si>
    <t>Feriado Trab</t>
  </si>
  <si>
    <t>TOTAL</t>
  </si>
  <si>
    <t>LIQUIDACION:</t>
  </si>
  <si>
    <t>Jornales</t>
  </si>
  <si>
    <t>Cant.</t>
  </si>
  <si>
    <t>Valor</t>
  </si>
  <si>
    <t>Haberes</t>
  </si>
  <si>
    <t>Descuentos</t>
  </si>
  <si>
    <t>Horas Extras</t>
  </si>
  <si>
    <t>Hs Ex esp</t>
  </si>
  <si>
    <t>Total Haberes</t>
  </si>
  <si>
    <t>Ap.Jubilatorio</t>
  </si>
  <si>
    <t>Fonasa</t>
  </si>
  <si>
    <t>FRL</t>
  </si>
  <si>
    <t>IRPF</t>
  </si>
  <si>
    <t>Total Descuentos</t>
  </si>
  <si>
    <t>Liquido a Cobrar</t>
  </si>
  <si>
    <t>EJERCICIO 2</t>
  </si>
  <si>
    <t>Mensual</t>
  </si>
  <si>
    <t>Nominal</t>
  </si>
  <si>
    <t>Form. 3100: 2 menores al 50%</t>
  </si>
  <si>
    <t>Menores a cargo</t>
  </si>
  <si>
    <t>Liquidacion</t>
  </si>
  <si>
    <t>Sueldo</t>
  </si>
  <si>
    <t>Liquido a cobrar</t>
  </si>
  <si>
    <t>Calculo IRPF</t>
  </si>
  <si>
    <t>IRPF 1 - IRPF Deducciones</t>
  </si>
  <si>
    <t>IRPF 1:</t>
  </si>
  <si>
    <t>0-26.936</t>
  </si>
  <si>
    <t>Monto</t>
  </si>
  <si>
    <t>$</t>
  </si>
  <si>
    <t>Calculo</t>
  </si>
  <si>
    <t>26.937-38.480</t>
  </si>
  <si>
    <t>38.481-57.720</t>
  </si>
  <si>
    <t>57.721-84.000</t>
  </si>
  <si>
    <t>IRPF 1 :</t>
  </si>
  <si>
    <t>IRPF Deducciones</t>
  </si>
  <si>
    <t>Nominal $ 84.000 es mayor que $ 57.720. Aplico 8% a los descuentos</t>
  </si>
  <si>
    <t>Total Aportes Personales</t>
  </si>
  <si>
    <t>Menores declarados F.3100</t>
  </si>
  <si>
    <t>(2 menores al 50%. Cada uno $ 4.169/2= $ 2.085 x 2 = $ 4.169)</t>
  </si>
  <si>
    <t>IRPF Deducciones:</t>
  </si>
  <si>
    <t>IRPF =</t>
  </si>
  <si>
    <t>IRPF 1              -    IRPF Deducciones</t>
  </si>
  <si>
    <t>EJERCICIO 3</t>
  </si>
  <si>
    <t>Ingreso</t>
  </si>
  <si>
    <t>Haberes 2017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</si>
  <si>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</si>
  <si>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</si>
  <si>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</si>
  <si>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</si>
  <si>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</si>
  <si>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</si>
  <si>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</si>
  <si>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</si>
  <si>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</si>
  <si>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</si>
  <si>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</si>
  <si>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Aguinaldo Dic 2017</t>
  </si>
  <si>
    <t>Suma (Junio a Noviembre)/12</t>
  </si>
  <si>
    <t>(18430+19015+25000+25000+24100+24980)/12</t>
  </si>
  <si>
    <t>Aguinaldo a Cobrar</t>
  </si>
  <si>
    <t>360              ------        20</t>
  </si>
  <si>
    <t>dias 2017     -----      X</t>
  </si>
  <si>
    <t>Licencia 2016 y Salario Vacacional</t>
  </si>
  <si>
    <t>Ingreso:   3/3/2016</t>
  </si>
  <si>
    <t>dias trabajados en 2016 =    298 dias</t>
  </si>
  <si>
    <t xml:space="preserve"> = 298 x 20 /  360  =  16,55 ------  se pagan 17 dias</t>
  </si>
  <si>
    <t>Jornal de Licencia = Jornal actual + promedio variable</t>
  </si>
  <si>
    <t>Jornal actual  = Sueldo / 30</t>
  </si>
  <si>
    <t xml:space="preserve"> 25.000 / 30  = $ 833,33</t>
  </si>
  <si>
    <t>Licencia</t>
  </si>
  <si>
    <t>Licencia  =  Jornal licencia x dias de licencia</t>
  </si>
  <si>
    <t xml:space="preserve">Licencia : </t>
  </si>
  <si>
    <t>Salario Vacacional = Licencia liquida</t>
  </si>
  <si>
    <t>Salario Vacacional = Jornal de licencia - aportes</t>
  </si>
  <si>
    <t>Salario Vacacional = $833.33 - aportes (15+6+0.125%) = $ 657,29</t>
  </si>
  <si>
    <t>Sal.Vacacional:</t>
  </si>
  <si>
    <t>Recibo Sal Vac</t>
  </si>
  <si>
    <t>Sal.Vac</t>
  </si>
  <si>
    <t>Sal. Vac a cobrar</t>
  </si>
  <si>
    <t>Aportes personales</t>
  </si>
  <si>
    <t>Recibo Licencia</t>
  </si>
  <si>
    <t>17 x 833.33</t>
  </si>
  <si>
    <t>Licencia a Cobrar</t>
  </si>
  <si>
    <t>EJERCICIO 4</t>
  </si>
  <si>
    <t>Jornal</t>
  </si>
  <si>
    <t>Jornalero sin menores con cónyuge</t>
  </si>
  <si>
    <t>Jornales trabajados año 2014</t>
  </si>
  <si>
    <t>Total</t>
  </si>
  <si>
    <t>Aguinaldo Dic 2014</t>
  </si>
  <si>
    <t>(20.000+21.000+17.640+14.280+15.960+19.320)/12</t>
  </si>
  <si>
    <t>Licencia 2013 y Salario Vacacional</t>
  </si>
  <si>
    <t>dias 2013     -----      X</t>
  </si>
  <si>
    <t>dias trabajados en 2013 =    243</t>
  </si>
  <si>
    <t>2013-2004 = 9 /4 = 2,25 …. Tiene 2 dias mas para gozar</t>
  </si>
  <si>
    <t xml:space="preserve"> = 243 x (20+2)  /  300  =  17.82 ------  se pagan 18 dias</t>
  </si>
  <si>
    <t>Jornal actual  = $ 840</t>
  </si>
  <si>
    <t>Salario Vacacional = $840 - aportes (15+6.5+0.125%) = $ 658,35</t>
  </si>
  <si>
    <t>18 x 840</t>
  </si>
  <si>
    <t>EJERCICIO 5</t>
  </si>
  <si>
    <t>Form. 3100: 1 menor al 100%</t>
  </si>
  <si>
    <t>Faltas</t>
  </si>
  <si>
    <t>Valor Jornal</t>
  </si>
  <si>
    <t>Valor Jornal = Sueldo /30 =  45.500/30 = $1.516,67</t>
  </si>
  <si>
    <t>Valor Hora Extra = Valor Hora x 2</t>
  </si>
  <si>
    <t>Valor Hora = Jornal / 8 = 1516,67/8  = 189,58</t>
  </si>
  <si>
    <t>Valor HExtra = 189,58 x 2 = 379,16</t>
  </si>
  <si>
    <t>Descanso Trab</t>
  </si>
  <si>
    <t>Hora extra esp</t>
  </si>
  <si>
    <t>Valor HE Esp = Valor Hora x 2,5</t>
  </si>
  <si>
    <t>Valor HE Esp = 189,58 x 2,5 = $ 473,95</t>
  </si>
  <si>
    <t>Menores y conyuge  a cargo</t>
  </si>
  <si>
    <t>38.481-45.595</t>
  </si>
  <si>
    <t>Nominal $ 45.595 es menor que $ 57.720. Aplico 10% a los descuentos</t>
  </si>
  <si>
    <t>(1 menor al 100%. Cada uno $ 4.169)</t>
  </si>
  <si>
    <t>EJERCICIO 6</t>
  </si>
  <si>
    <t>Licencia 2017 y Salario Vacacional</t>
  </si>
  <si>
    <t>Ingreso:   20/10/2017</t>
  </si>
  <si>
    <t xml:space="preserve"> = 71 x 20 /  360  =  3,94 ------  se pagan 4 dias</t>
  </si>
  <si>
    <t>dias trabajados en 2017 =    71 dias</t>
  </si>
  <si>
    <t xml:space="preserve"> 19.500 / 30  = $ 650</t>
  </si>
  <si>
    <t>Salario Vacacional = $650 - aportes (15+3+0.125%) = $ 532,19</t>
  </si>
  <si>
    <t>4 x 650</t>
  </si>
  <si>
    <t>EJERCICIO 7</t>
  </si>
  <si>
    <t>Con conyuge sin menores a cargo</t>
  </si>
  <si>
    <t>360              ------        20 + antigüedad</t>
  </si>
  <si>
    <t>300              ------        20 + antigüedad</t>
  </si>
  <si>
    <t>Ingreso:   01/01/2004  ……………….. Me fijo cuantos dias de antigüedad tiene (ño actual-año inicio/4)</t>
  </si>
  <si>
    <t>Ingreso:  01/01/2001</t>
  </si>
  <si>
    <t>dias antigüedad =  año actual - año inicio / 4</t>
  </si>
  <si>
    <t xml:space="preserve"> 2017 - 2001 = 16 /4  = 4 dias extra por antigüedad</t>
  </si>
  <si>
    <t>dias trabajados en 2017 =    360</t>
  </si>
  <si>
    <t xml:space="preserve"> = 360 x (20+4) /  360  =  24  dias</t>
  </si>
  <si>
    <t xml:space="preserve"> 50.000 / 30  = $ 1.666,67</t>
  </si>
  <si>
    <t>Valor Hora</t>
  </si>
  <si>
    <t>Valor Hora Extra</t>
  </si>
  <si>
    <t>Prom hs extra = (20 x 416,67) /360 = $8.333,40 /360  = $ 23,15</t>
  </si>
  <si>
    <r>
      <rPr>
        <b/>
        <sz val="11"/>
        <color theme="1"/>
        <rFont val="Calibri"/>
        <family val="2"/>
        <scheme val="minor"/>
      </rPr>
      <t>Promedio horas extras</t>
    </r>
    <r>
      <rPr>
        <sz val="11"/>
        <color theme="1"/>
        <rFont val="Calibri"/>
        <family val="2"/>
        <scheme val="minor"/>
      </rPr>
      <t>: Suma hs extras año ant x valor actual /360</t>
    </r>
  </si>
  <si>
    <r>
      <rPr>
        <b/>
        <sz val="11"/>
        <color theme="1"/>
        <rFont val="Calibri"/>
        <family val="2"/>
        <scheme val="minor"/>
      </rPr>
      <t>Promedio Remuneracion Variable</t>
    </r>
    <r>
      <rPr>
        <sz val="11"/>
        <color theme="1"/>
        <rFont val="Calibri"/>
        <family val="2"/>
        <scheme val="minor"/>
      </rPr>
      <t>: Suma Rem.Vble /360</t>
    </r>
  </si>
  <si>
    <t>Prom.Rem.Vble = $ 6.000/360 = $ 16,67</t>
  </si>
  <si>
    <t>Jornal Licencia = $ 1.667,67 +23,15 + 16,67 = $ 1.707,49</t>
  </si>
  <si>
    <t>Salario Vacacional = $1.707,49 - aportes (15+(4.5+2)+0.125%) = $ 1.338,25</t>
  </si>
  <si>
    <t>24 x 1.707,49</t>
  </si>
  <si>
    <t>38.481-40.980</t>
  </si>
  <si>
    <t>Nominal $ 40.980 es menor que $ 57.720. Aplico 10% a los descuentos</t>
  </si>
  <si>
    <t>Calculo IRPF Licencia</t>
  </si>
  <si>
    <t>Calculo IRPF Sal.Vacacional</t>
  </si>
  <si>
    <t>26.937-32.118</t>
  </si>
  <si>
    <t>Nominal $ 32.118 es menor que $ 57.720. Aplico 10% a los descuentos</t>
  </si>
  <si>
    <t>EJERCICIO 8</t>
  </si>
  <si>
    <t>año 2005</t>
  </si>
  <si>
    <t>Sin menores ni cónyuge</t>
  </si>
  <si>
    <t>Aguinaldo Junio 2018</t>
  </si>
  <si>
    <t>Suma (Diciembre 2017 a Mayo 2018)/12</t>
  </si>
  <si>
    <t>(40000 x 6 )/12</t>
  </si>
  <si>
    <t>Ingreso:   año 2005</t>
  </si>
  <si>
    <t>antigüedad:  2017 - 2005 = 12 / 4 = 3 dias extras por antigüedad</t>
  </si>
  <si>
    <t>dias trabajados en 2017 =    360 dias</t>
  </si>
  <si>
    <t xml:space="preserve"> = 360 x (20+3) /  360  =  23 dias</t>
  </si>
  <si>
    <t>40.000 /30 = $ 1.333,33</t>
  </si>
  <si>
    <t>Salario Vacacional = $1.333,33 - aportes (15+4,5+0.125%) = $ 1.071,66</t>
  </si>
  <si>
    <t>23 x 1.333,33</t>
  </si>
  <si>
    <t>26.937-30.667</t>
  </si>
  <si>
    <t>Nominal $ 30.667 es menor que $ 57.720. Aplico 10% a los descuentos</t>
  </si>
  <si>
    <t>es negativo…. No se descuenta nada de IRPF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</si>
</sst>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quotePrefix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9" fontId="0" fillId="0" borderId="0" xfId="0" applyNumberFormat="1"/>
    <xf numFmtId="164" fontId="0" fillId="0" borderId="0" xfId="0" applyNumberFormat="1"/>
    <xf numFmtId="3" fontId="0" fillId="0" borderId="0" xfId="0" applyNumberFormat="1"/>
    <xf numFmtId="3" fontId="0" fillId="0" borderId="2" xfId="0" applyNumberFormat="1" applyBorder="1"/>
    <xf numFmtId="3" fontId="1" fillId="0" borderId="0" xfId="0" applyNumberFormat="1" applyFont="1"/>
    <xf numFmtId="9" fontId="0" fillId="0" borderId="1" xfId="0" applyNumberFormat="1" applyBorder="1"/>
    <xf numFmtId="0" fontId="1" fillId="0" borderId="0" xfId="0" applyFont="1" applyAlignment="1">
      <alignment horizontal="right"/>
    </xf>
    <xf numFmtId="14" fontId="0" fillId="0" borderId="0" xfId="0" applyNumberFormat="1"/>
    <xf numFmtId="4" fontId="0" fillId="0" borderId="0" xfId="0" applyNumberForma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3" fontId="1" fillId="0" borderId="1" xfId="0" applyNumberFormat="1" applyFont="1" applyBorder="1"/>
    <xf numFmtId="10" fontId="0" fillId="0" borderId="0" xfId="0" applyNumberFormat="1"/>
    <xf numFmtId="4" fontId="0" fillId="0" borderId="0" xfId="0" quotePrefix="1" applyNumberFormat="1"/>
    <xf numFmtId="4" fontId="1" fillId="0" borderId="0" xfId="0" applyNumberFormat="1" applyFont="1"/>
    <xf numFmtId="4" fontId="0" fillId="0" borderId="1" xfId="0" applyNumberFormat="1" applyBorder="1"/>
    <xf numFmtId="0" fontId="1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13</xdr:row>
      <xdr:rowOff>114300</xdr:rowOff>
    </xdr:from>
    <xdr:to>
      <xdr:col>4</xdr:col>
      <xdr:colOff>133350</xdr:colOff>
      <xdr:row>15</xdr:row>
      <xdr:rowOff>171450</xdr:rowOff>
    </xdr:to>
    <xdr:sp macro="" textlink="">
      <xdr:nvSpPr>
        <xdr:cNvPr id="2" name="1 Cerrar llave"/>
        <xdr:cNvSpPr/>
      </xdr:nvSpPr>
      <xdr:spPr>
        <a:xfrm>
          <a:off x="3343275" y="2590800"/>
          <a:ext cx="95250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24</xdr:row>
      <xdr:rowOff>114300</xdr:rowOff>
    </xdr:from>
    <xdr:to>
      <xdr:col>5</xdr:col>
      <xdr:colOff>133350</xdr:colOff>
      <xdr:row>26</xdr:row>
      <xdr:rowOff>171450</xdr:rowOff>
    </xdr:to>
    <xdr:sp macro="" textlink="">
      <xdr:nvSpPr>
        <xdr:cNvPr id="2" name="1 Cerrar llave"/>
        <xdr:cNvSpPr/>
      </xdr:nvSpPr>
      <xdr:spPr>
        <a:xfrm>
          <a:off x="3343275" y="2590800"/>
          <a:ext cx="95250" cy="4381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workbookViewId="0">
      <selection activeCell="H13" sqref="H13"/>
    </sheetView>
  </sheetViews>
  <sheetFormatPr baseColWidth="10" defaultRowHeight="15" x14ac:dyDescent="0.25"/>
  <cols>
    <col min="1" max="1" width="15.28515625" customWidth="1"/>
  </cols>
  <sheetData>
    <row r="1" spans="1:6" x14ac:dyDescent="0.25">
      <c r="B1" s="1" t="s">
        <v>1</v>
      </c>
    </row>
    <row r="3" spans="1:6" x14ac:dyDescent="0.25">
      <c r="A3" s="2" t="s">
        <v>0</v>
      </c>
    </row>
    <row r="5" spans="1:6" x14ac:dyDescent="0.25">
      <c r="A5" t="s">
        <v>7</v>
      </c>
    </row>
    <row r="6" spans="1:6" x14ac:dyDescent="0.25">
      <c r="A6" t="s">
        <v>2</v>
      </c>
      <c r="B6">
        <v>940</v>
      </c>
    </row>
    <row r="7" spans="1:6" x14ac:dyDescent="0.25">
      <c r="A7" t="s">
        <v>5</v>
      </c>
      <c r="B7" s="3" t="s">
        <v>6</v>
      </c>
      <c r="C7">
        <f>940/8</f>
        <v>117.5</v>
      </c>
    </row>
    <row r="8" spans="1:6" x14ac:dyDescent="0.25">
      <c r="A8" t="s">
        <v>3</v>
      </c>
      <c r="B8" s="3" t="s">
        <v>8</v>
      </c>
      <c r="C8">
        <f>+C7*2</f>
        <v>235</v>
      </c>
    </row>
    <row r="9" spans="1:6" x14ac:dyDescent="0.25">
      <c r="A9" t="s">
        <v>4</v>
      </c>
      <c r="B9" t="s">
        <v>9</v>
      </c>
      <c r="C9">
        <f>+C7*2.5</f>
        <v>293.75</v>
      </c>
    </row>
    <row r="10" spans="1:6" x14ac:dyDescent="0.25">
      <c r="A10" t="s">
        <v>20</v>
      </c>
      <c r="B10" t="s">
        <v>21</v>
      </c>
      <c r="C10">
        <f>+B6*2</f>
        <v>1880</v>
      </c>
    </row>
    <row r="12" spans="1:6" x14ac:dyDescent="0.25">
      <c r="A12" s="5" t="s">
        <v>10</v>
      </c>
      <c r="B12" s="7" t="s">
        <v>16</v>
      </c>
      <c r="C12" s="7" t="s">
        <v>17</v>
      </c>
      <c r="D12" s="7" t="s">
        <v>18</v>
      </c>
      <c r="E12" s="7" t="s">
        <v>19</v>
      </c>
      <c r="F12" s="7" t="s">
        <v>22</v>
      </c>
    </row>
    <row r="13" spans="1:6" x14ac:dyDescent="0.25">
      <c r="A13" s="4" t="s">
        <v>11</v>
      </c>
      <c r="B13" s="6"/>
      <c r="C13" s="6">
        <v>5</v>
      </c>
      <c r="D13" s="6"/>
      <c r="E13" s="6"/>
      <c r="F13" s="6"/>
    </row>
    <row r="14" spans="1:6" x14ac:dyDescent="0.25">
      <c r="A14" s="4" t="s">
        <v>12</v>
      </c>
      <c r="B14" s="6"/>
      <c r="C14" s="6"/>
      <c r="D14" s="6">
        <v>2</v>
      </c>
      <c r="E14" s="6">
        <v>1</v>
      </c>
      <c r="F14" s="6"/>
    </row>
    <row r="15" spans="1:6" x14ac:dyDescent="0.25">
      <c r="A15" s="4" t="s">
        <v>13</v>
      </c>
      <c r="B15" s="6"/>
      <c r="C15" s="6"/>
      <c r="D15" s="6">
        <v>1</v>
      </c>
      <c r="E15" s="6"/>
      <c r="F15" s="6">
        <v>1</v>
      </c>
    </row>
    <row r="16" spans="1:6" x14ac:dyDescent="0.25">
      <c r="A16" s="4" t="s">
        <v>14</v>
      </c>
      <c r="B16" s="6">
        <v>2</v>
      </c>
      <c r="C16" s="6">
        <v>4</v>
      </c>
      <c r="D16" s="6"/>
      <c r="E16" s="6"/>
      <c r="F16" s="6"/>
    </row>
    <row r="17" spans="1:6" x14ac:dyDescent="0.25">
      <c r="A17" s="4" t="s">
        <v>15</v>
      </c>
      <c r="B17" s="6">
        <v>18</v>
      </c>
      <c r="C17" s="6"/>
      <c r="D17" s="6"/>
      <c r="E17" s="6"/>
      <c r="F17" s="6"/>
    </row>
    <row r="18" spans="1:6" s="1" customFormat="1" x14ac:dyDescent="0.25">
      <c r="A18" s="5" t="s">
        <v>23</v>
      </c>
      <c r="B18" s="7">
        <f>SUM(B13:B17)</f>
        <v>20</v>
      </c>
      <c r="C18" s="7">
        <f t="shared" ref="C18:F18" si="0">SUM(C13:C17)</f>
        <v>9</v>
      </c>
      <c r="D18" s="7">
        <f t="shared" si="0"/>
        <v>3</v>
      </c>
      <c r="E18" s="7">
        <f t="shared" si="0"/>
        <v>1</v>
      </c>
      <c r="F18" s="7">
        <f t="shared" si="0"/>
        <v>1</v>
      </c>
    </row>
    <row r="20" spans="1:6" x14ac:dyDescent="0.25">
      <c r="A20" s="1" t="s">
        <v>24</v>
      </c>
    </row>
    <row r="21" spans="1:6" x14ac:dyDescent="0.25">
      <c r="B21" t="s">
        <v>26</v>
      </c>
      <c r="C21" t="s">
        <v>27</v>
      </c>
      <c r="D21" t="s">
        <v>28</v>
      </c>
      <c r="E21" t="s">
        <v>29</v>
      </c>
    </row>
    <row r="22" spans="1:6" x14ac:dyDescent="0.25">
      <c r="A22" t="s">
        <v>25</v>
      </c>
      <c r="B22">
        <f>+B18</f>
        <v>20</v>
      </c>
      <c r="C22">
        <f>+B6</f>
        <v>940</v>
      </c>
      <c r="D22" s="10">
        <f>+B22*C22</f>
        <v>18800</v>
      </c>
      <c r="E22" s="10"/>
    </row>
    <row r="23" spans="1:6" x14ac:dyDescent="0.25">
      <c r="A23" t="s">
        <v>30</v>
      </c>
      <c r="B23">
        <f>+C18</f>
        <v>9</v>
      </c>
      <c r="C23">
        <f>+C8</f>
        <v>235</v>
      </c>
      <c r="D23" s="10">
        <f t="shared" ref="D23:D26" si="1">+B23*C23</f>
        <v>2115</v>
      </c>
      <c r="E23" s="10"/>
    </row>
    <row r="24" spans="1:6" x14ac:dyDescent="0.25">
      <c r="A24" t="s">
        <v>31</v>
      </c>
      <c r="B24">
        <f>+D18</f>
        <v>3</v>
      </c>
      <c r="C24">
        <f>+C9</f>
        <v>293.75</v>
      </c>
      <c r="D24" s="10">
        <f t="shared" si="1"/>
        <v>881.25</v>
      </c>
      <c r="E24" s="10"/>
    </row>
    <row r="25" spans="1:6" x14ac:dyDescent="0.25">
      <c r="A25" t="s">
        <v>19</v>
      </c>
      <c r="B25">
        <f>+E18</f>
        <v>1</v>
      </c>
      <c r="C25">
        <f>+C10</f>
        <v>1880</v>
      </c>
      <c r="D25" s="10">
        <f t="shared" si="1"/>
        <v>1880</v>
      </c>
      <c r="E25" s="10"/>
    </row>
    <row r="26" spans="1:6" x14ac:dyDescent="0.25">
      <c r="A26" t="s">
        <v>22</v>
      </c>
      <c r="B26">
        <f>+F18</f>
        <v>1</v>
      </c>
      <c r="C26">
        <f>+C10</f>
        <v>1880</v>
      </c>
      <c r="D26" s="11">
        <f t="shared" si="1"/>
        <v>1880</v>
      </c>
      <c r="E26" s="10"/>
    </row>
    <row r="27" spans="1:6" x14ac:dyDescent="0.25">
      <c r="A27" t="s">
        <v>32</v>
      </c>
      <c r="D27" s="10">
        <f>SUM(D22:D26)</f>
        <v>25556.25</v>
      </c>
      <c r="E27" s="10"/>
    </row>
    <row r="28" spans="1:6" x14ac:dyDescent="0.25">
      <c r="D28" s="10"/>
      <c r="E28" s="10"/>
    </row>
    <row r="29" spans="1:6" x14ac:dyDescent="0.25">
      <c r="A29" t="s">
        <v>33</v>
      </c>
      <c r="B29" s="8">
        <v>0.15</v>
      </c>
      <c r="D29" s="10"/>
      <c r="E29" s="10">
        <f>+D27*0.15</f>
        <v>3833.4375</v>
      </c>
    </row>
    <row r="30" spans="1:6" x14ac:dyDescent="0.25">
      <c r="A30" t="s">
        <v>34</v>
      </c>
      <c r="B30" s="8">
        <v>0.08</v>
      </c>
      <c r="D30" s="10"/>
      <c r="E30" s="10">
        <f>+D27*0.08</f>
        <v>2044.5</v>
      </c>
    </row>
    <row r="31" spans="1:6" x14ac:dyDescent="0.25">
      <c r="A31" t="s">
        <v>35</v>
      </c>
      <c r="B31" s="9">
        <v>1.25E-3</v>
      </c>
      <c r="D31" s="10"/>
      <c r="E31" s="10">
        <f>+D27*0.00125</f>
        <v>31.9453125</v>
      </c>
    </row>
    <row r="32" spans="1:6" x14ac:dyDescent="0.25">
      <c r="A32" t="s">
        <v>36</v>
      </c>
      <c r="D32" s="10"/>
      <c r="E32" s="11">
        <v>0</v>
      </c>
    </row>
    <row r="33" spans="1:5" x14ac:dyDescent="0.25">
      <c r="A33" t="s">
        <v>37</v>
      </c>
      <c r="D33" s="10"/>
      <c r="E33" s="10">
        <f>SUM(E29:E32)</f>
        <v>5909.8828125</v>
      </c>
    </row>
    <row r="34" spans="1:5" x14ac:dyDescent="0.25">
      <c r="D34" s="10"/>
      <c r="E34" s="10"/>
    </row>
    <row r="35" spans="1:5" x14ac:dyDescent="0.25">
      <c r="A35" s="1" t="s">
        <v>38</v>
      </c>
      <c r="B35" s="1"/>
      <c r="C35" s="1"/>
      <c r="D35" s="12">
        <f>+D27-E33</f>
        <v>19646.3671875</v>
      </c>
      <c r="E35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workbookViewId="0">
      <selection activeCell="G13" sqref="G13"/>
    </sheetView>
  </sheetViews>
  <sheetFormatPr baseColWidth="10" defaultRowHeight="15" x14ac:dyDescent="0.25"/>
  <cols>
    <col min="1" max="1" width="15.28515625" customWidth="1"/>
  </cols>
  <sheetData>
    <row r="1" spans="1:5" x14ac:dyDescent="0.25">
      <c r="B1" s="1" t="s">
        <v>1</v>
      </c>
    </row>
    <row r="3" spans="1:5" x14ac:dyDescent="0.25">
      <c r="A3" s="2" t="s">
        <v>39</v>
      </c>
    </row>
    <row r="5" spans="1:5" x14ac:dyDescent="0.25">
      <c r="A5" t="s">
        <v>40</v>
      </c>
    </row>
    <row r="6" spans="1:5" x14ac:dyDescent="0.25">
      <c r="A6" t="s">
        <v>41</v>
      </c>
      <c r="B6">
        <v>84000</v>
      </c>
    </row>
    <row r="7" spans="1:5" x14ac:dyDescent="0.25">
      <c r="A7" t="s">
        <v>42</v>
      </c>
    </row>
    <row r="8" spans="1:5" x14ac:dyDescent="0.25">
      <c r="A8" t="s">
        <v>43</v>
      </c>
    </row>
    <row r="10" spans="1:5" x14ac:dyDescent="0.25">
      <c r="A10" t="s">
        <v>44</v>
      </c>
    </row>
    <row r="11" spans="1:5" x14ac:dyDescent="0.25">
      <c r="C11" t="s">
        <v>28</v>
      </c>
      <c r="D11" t="s">
        <v>29</v>
      </c>
    </row>
    <row r="12" spans="1:5" x14ac:dyDescent="0.25">
      <c r="A12" t="s">
        <v>45</v>
      </c>
      <c r="C12" s="10">
        <v>84000</v>
      </c>
    </row>
    <row r="14" spans="1:5" x14ac:dyDescent="0.25">
      <c r="A14" t="s">
        <v>33</v>
      </c>
      <c r="B14" s="8">
        <v>0.15</v>
      </c>
      <c r="D14" s="10">
        <f>+C12*0.15</f>
        <v>12600</v>
      </c>
    </row>
    <row r="15" spans="1:5" x14ac:dyDescent="0.25">
      <c r="A15" t="s">
        <v>34</v>
      </c>
      <c r="B15" s="8">
        <v>0.06</v>
      </c>
      <c r="D15" s="10">
        <f>+C12*0.06</f>
        <v>5040</v>
      </c>
      <c r="E15" s="10">
        <f>+D14+D15+D16</f>
        <v>17745</v>
      </c>
    </row>
    <row r="16" spans="1:5" x14ac:dyDescent="0.25">
      <c r="A16" t="s">
        <v>35</v>
      </c>
      <c r="B16" s="9">
        <v>1.25E-3</v>
      </c>
      <c r="D16" s="10">
        <f>+C12*0.00125</f>
        <v>105</v>
      </c>
    </row>
    <row r="17" spans="1:4" x14ac:dyDescent="0.25">
      <c r="A17" t="s">
        <v>36</v>
      </c>
      <c r="D17" s="11">
        <f>+A42</f>
        <v>8594.48</v>
      </c>
    </row>
    <row r="18" spans="1:4" x14ac:dyDescent="0.25">
      <c r="D18" s="10">
        <f>SUM(D14:D17)</f>
        <v>26339.48</v>
      </c>
    </row>
    <row r="19" spans="1:4" s="1" customFormat="1" x14ac:dyDescent="0.25">
      <c r="A19" s="1" t="s">
        <v>46</v>
      </c>
      <c r="C19" s="12">
        <f>+C12-D18</f>
        <v>57660.520000000004</v>
      </c>
    </row>
    <row r="22" spans="1:4" x14ac:dyDescent="0.25">
      <c r="A22" s="1" t="s">
        <v>47</v>
      </c>
    </row>
    <row r="23" spans="1:4" x14ac:dyDescent="0.25">
      <c r="A23" t="s">
        <v>48</v>
      </c>
    </row>
    <row r="25" spans="1:4" x14ac:dyDescent="0.25">
      <c r="A25" s="5" t="s">
        <v>49</v>
      </c>
      <c r="B25" s="4" t="s">
        <v>51</v>
      </c>
      <c r="C25" s="4" t="s">
        <v>52</v>
      </c>
      <c r="D25" s="4" t="s">
        <v>53</v>
      </c>
    </row>
    <row r="26" spans="1:4" x14ac:dyDescent="0.25">
      <c r="A26" s="4" t="s">
        <v>50</v>
      </c>
      <c r="B26" s="4">
        <v>26936</v>
      </c>
      <c r="C26" s="13">
        <v>0</v>
      </c>
      <c r="D26" s="4">
        <f>+B26*C26</f>
        <v>0</v>
      </c>
    </row>
    <row r="27" spans="1:4" x14ac:dyDescent="0.25">
      <c r="A27" s="4" t="s">
        <v>54</v>
      </c>
      <c r="B27" s="4">
        <f>38480-B26</f>
        <v>11544</v>
      </c>
      <c r="C27" s="13">
        <v>0.1</v>
      </c>
      <c r="D27" s="4">
        <f>+B27*C27</f>
        <v>1154.4000000000001</v>
      </c>
    </row>
    <row r="28" spans="1:4" x14ac:dyDescent="0.25">
      <c r="A28" s="4" t="s">
        <v>55</v>
      </c>
      <c r="B28" s="4">
        <f>57720-B27-B26</f>
        <v>19240</v>
      </c>
      <c r="C28" s="13">
        <v>0.15</v>
      </c>
      <c r="D28" s="4">
        <f>+B28*C28</f>
        <v>2886</v>
      </c>
    </row>
    <row r="29" spans="1:4" x14ac:dyDescent="0.25">
      <c r="A29" s="4" t="s">
        <v>56</v>
      </c>
      <c r="B29" s="4">
        <f>84000-B28-B27-B26</f>
        <v>26280</v>
      </c>
      <c r="C29" s="13">
        <v>0.24</v>
      </c>
      <c r="D29" s="4">
        <f>+B29*C29</f>
        <v>6307.2</v>
      </c>
    </row>
    <row r="30" spans="1:4" x14ac:dyDescent="0.25">
      <c r="A30" s="4"/>
      <c r="B30" s="4"/>
      <c r="C30" s="5" t="s">
        <v>57</v>
      </c>
      <c r="D30" s="5">
        <f>SUM(D26:D29)</f>
        <v>10347.6</v>
      </c>
    </row>
    <row r="32" spans="1:4" x14ac:dyDescent="0.25">
      <c r="A32" t="s">
        <v>58</v>
      </c>
    </row>
    <row r="33" spans="1:4" x14ac:dyDescent="0.25">
      <c r="A33" t="s">
        <v>59</v>
      </c>
    </row>
    <row r="35" spans="1:4" x14ac:dyDescent="0.25">
      <c r="A35" t="s">
        <v>60</v>
      </c>
      <c r="C35" s="10">
        <f>+E15</f>
        <v>17745</v>
      </c>
    </row>
    <row r="36" spans="1:4" x14ac:dyDescent="0.25">
      <c r="A36" t="s">
        <v>61</v>
      </c>
      <c r="C36" s="11">
        <v>4169</v>
      </c>
      <c r="D36" t="s">
        <v>62</v>
      </c>
    </row>
    <row r="37" spans="1:4" x14ac:dyDescent="0.25">
      <c r="C37" s="10">
        <f>SUM(C35:C36)</f>
        <v>21914</v>
      </c>
    </row>
    <row r="38" spans="1:4" x14ac:dyDescent="0.25">
      <c r="C38" s="8">
        <v>0.08</v>
      </c>
    </row>
    <row r="39" spans="1:4" x14ac:dyDescent="0.25">
      <c r="B39" s="14" t="s">
        <v>63</v>
      </c>
      <c r="C39" s="1">
        <f>+C37*C38</f>
        <v>1753.1200000000001</v>
      </c>
    </row>
    <row r="41" spans="1:4" x14ac:dyDescent="0.25">
      <c r="A41" s="4" t="s">
        <v>64</v>
      </c>
      <c r="B41" s="4" t="s">
        <v>65</v>
      </c>
      <c r="C41" s="4"/>
    </row>
    <row r="42" spans="1:4" x14ac:dyDescent="0.25">
      <c r="A42" s="4">
        <f>+B42-C42</f>
        <v>8594.48</v>
      </c>
      <c r="B42" s="4">
        <f>+D30</f>
        <v>10347.6</v>
      </c>
      <c r="C42" s="4">
        <f>+C39</f>
        <v>1753.1200000000001</v>
      </c>
    </row>
  </sheetData>
  <printOptions horizontalCentered="1"/>
  <pageMargins left="0.70866141732283472" right="0.31496062992125984" top="0.74803149606299213" bottom="0.74803149606299213" header="0.31496062992125984" footer="0.31496062992125984"/>
  <pageSetup paperSize="9" scale="96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workbookViewId="0">
      <selection activeCell="A14" sqref="A14"/>
    </sheetView>
  </sheetViews>
  <sheetFormatPr baseColWidth="10" defaultRowHeight="15" x14ac:dyDescent="0.25"/>
  <cols>
    <col min="1" max="1" width="15.28515625" customWidth="1"/>
    <col min="3" max="3" width="13.140625" bestFit="1" customWidth="1"/>
  </cols>
  <sheetData>
    <row r="1" spans="1:5" x14ac:dyDescent="0.25">
      <c r="B1" s="1" t="s">
        <v>1</v>
      </c>
    </row>
    <row r="3" spans="1:5" x14ac:dyDescent="0.25">
      <c r="A3" s="2" t="s">
        <v>66</v>
      </c>
    </row>
    <row r="5" spans="1:5" x14ac:dyDescent="0.25">
      <c r="A5" t="s">
        <v>40</v>
      </c>
      <c r="B5">
        <v>25000</v>
      </c>
    </row>
    <row r="6" spans="1:5" x14ac:dyDescent="0.25">
      <c r="A6" t="s">
        <v>67</v>
      </c>
      <c r="B6" s="15">
        <v>42432</v>
      </c>
    </row>
    <row r="7" spans="1:5" x14ac:dyDescent="0.25">
      <c r="A7" s="1" t="s">
        <v>68</v>
      </c>
    </row>
    <row r="8" spans="1:5" x14ac:dyDescent="0.25">
      <c r="A8" t="s">
        <v>69</v>
      </c>
      <c r="B8">
        <v>20500</v>
      </c>
      <c r="C8" t="s">
        <v>75</v>
      </c>
      <c r="D8">
        <v>19015</v>
      </c>
    </row>
    <row r="9" spans="1:5" x14ac:dyDescent="0.25">
      <c r="A9" t="s">
        <v>70</v>
      </c>
      <c r="B9">
        <v>19830</v>
      </c>
      <c r="C9" t="s">
        <v>76</v>
      </c>
      <c r="D9">
        <v>25000</v>
      </c>
    </row>
    <row r="10" spans="1:5" x14ac:dyDescent="0.25">
      <c r="A10" t="s">
        <v>71</v>
      </c>
      <c r="B10">
        <v>19910</v>
      </c>
      <c r="C10" t="s">
        <v>77</v>
      </c>
      <c r="D10">
        <v>25000</v>
      </c>
    </row>
    <row r="11" spans="1:5" x14ac:dyDescent="0.25">
      <c r="A11" t="s">
        <v>72</v>
      </c>
      <c r="B11">
        <v>20500</v>
      </c>
      <c r="C11" t="s">
        <v>78</v>
      </c>
      <c r="D11">
        <v>24100</v>
      </c>
    </row>
    <row r="12" spans="1:5" x14ac:dyDescent="0.25">
      <c r="A12" t="s">
        <v>73</v>
      </c>
      <c r="B12">
        <v>20500</v>
      </c>
      <c r="C12" t="s">
        <v>79</v>
      </c>
      <c r="D12">
        <v>24980</v>
      </c>
    </row>
    <row r="13" spans="1:5" x14ac:dyDescent="0.25">
      <c r="A13" t="s">
        <v>74</v>
      </c>
      <c r="B13">
        <v>18430</v>
      </c>
    </row>
    <row r="15" spans="1:5" x14ac:dyDescent="0.25">
      <c r="C15" t="s">
        <v>28</v>
      </c>
      <c r="D15" t="s">
        <v>29</v>
      </c>
    </row>
    <row r="16" spans="1:5" x14ac:dyDescent="0.25">
      <c r="A16" s="1" t="s">
        <v>80</v>
      </c>
      <c r="C16" s="16">
        <f>+(B13+D8+D9+D10+D11+D12)/12</f>
        <v>11377.083333333334</v>
      </c>
      <c r="E16" t="s">
        <v>81</v>
      </c>
    </row>
    <row r="17" spans="1:5" x14ac:dyDescent="0.25">
      <c r="E17" s="3" t="s">
        <v>82</v>
      </c>
    </row>
    <row r="18" spans="1:5" x14ac:dyDescent="0.25">
      <c r="A18" t="s">
        <v>33</v>
      </c>
      <c r="B18" s="8">
        <v>0.15</v>
      </c>
      <c r="C18" s="10"/>
      <c r="D18" s="10">
        <f>+C16*0.15</f>
        <v>1706.5625</v>
      </c>
    </row>
    <row r="19" spans="1:5" x14ac:dyDescent="0.25">
      <c r="A19" t="s">
        <v>34</v>
      </c>
      <c r="B19" s="8">
        <v>0.06</v>
      </c>
      <c r="C19" s="10"/>
      <c r="D19" s="10">
        <f>+C16*0.06</f>
        <v>682.625</v>
      </c>
    </row>
    <row r="20" spans="1:5" x14ac:dyDescent="0.25">
      <c r="A20" t="s">
        <v>35</v>
      </c>
      <c r="B20" s="9">
        <v>1.25E-3</v>
      </c>
      <c r="C20" s="10"/>
      <c r="D20" s="10">
        <f>+C16*0.00125</f>
        <v>14.221354166666668</v>
      </c>
    </row>
    <row r="21" spans="1:5" x14ac:dyDescent="0.25">
      <c r="A21" t="s">
        <v>36</v>
      </c>
      <c r="C21" s="10"/>
      <c r="D21" s="11">
        <v>0</v>
      </c>
    </row>
    <row r="22" spans="1:5" x14ac:dyDescent="0.25">
      <c r="A22" t="s">
        <v>37</v>
      </c>
      <c r="C22" s="10"/>
      <c r="D22" s="10">
        <f>SUM(D18:D21)</f>
        <v>2403.4088541666665</v>
      </c>
    </row>
    <row r="23" spans="1:5" x14ac:dyDescent="0.25">
      <c r="C23" s="10"/>
      <c r="D23" s="10"/>
    </row>
    <row r="24" spans="1:5" x14ac:dyDescent="0.25">
      <c r="A24" s="1" t="s">
        <v>83</v>
      </c>
      <c r="B24" s="1"/>
      <c r="C24" s="12">
        <f>+C16-D22</f>
        <v>8973.6744791666679</v>
      </c>
      <c r="D24" s="10"/>
    </row>
    <row r="27" spans="1:5" x14ac:dyDescent="0.25">
      <c r="A27" s="1" t="s">
        <v>86</v>
      </c>
      <c r="D27" s="17" t="s">
        <v>84</v>
      </c>
      <c r="E27" s="18"/>
    </row>
    <row r="28" spans="1:5" x14ac:dyDescent="0.25">
      <c r="D28" s="19" t="s">
        <v>85</v>
      </c>
      <c r="E28" s="20"/>
    </row>
    <row r="30" spans="1:5" x14ac:dyDescent="0.25">
      <c r="A30" t="s">
        <v>87</v>
      </c>
    </row>
    <row r="31" spans="1:5" x14ac:dyDescent="0.25">
      <c r="A31" t="s">
        <v>88</v>
      </c>
    </row>
    <row r="32" spans="1:5" x14ac:dyDescent="0.25">
      <c r="A32" s="3" t="s">
        <v>89</v>
      </c>
    </row>
    <row r="34" spans="1:4" x14ac:dyDescent="0.25">
      <c r="A34" t="s">
        <v>90</v>
      </c>
    </row>
    <row r="35" spans="1:4" x14ac:dyDescent="0.25">
      <c r="A35" t="s">
        <v>91</v>
      </c>
    </row>
    <row r="36" spans="1:4" x14ac:dyDescent="0.25">
      <c r="A36" s="3" t="s">
        <v>92</v>
      </c>
    </row>
    <row r="38" spans="1:4" x14ac:dyDescent="0.25">
      <c r="A38" t="s">
        <v>94</v>
      </c>
    </row>
    <row r="39" spans="1:4" x14ac:dyDescent="0.25">
      <c r="A39" t="s">
        <v>95</v>
      </c>
      <c r="B39">
        <v>833.33</v>
      </c>
      <c r="C39">
        <v>17</v>
      </c>
      <c r="D39" s="21">
        <f>+B39*C39</f>
        <v>14166.61</v>
      </c>
    </row>
    <row r="41" spans="1:4" x14ac:dyDescent="0.25">
      <c r="A41" t="s">
        <v>96</v>
      </c>
    </row>
    <row r="42" spans="1:4" x14ac:dyDescent="0.25">
      <c r="A42" t="s">
        <v>97</v>
      </c>
    </row>
    <row r="43" spans="1:4" x14ac:dyDescent="0.25">
      <c r="A43" t="s">
        <v>98</v>
      </c>
    </row>
    <row r="45" spans="1:4" x14ac:dyDescent="0.25">
      <c r="A45" t="s">
        <v>99</v>
      </c>
      <c r="B45">
        <v>657.29</v>
      </c>
      <c r="C45">
        <v>17</v>
      </c>
      <c r="D45" s="21">
        <f>+B45*C45</f>
        <v>11173.93</v>
      </c>
    </row>
    <row r="48" spans="1:4" x14ac:dyDescent="0.25">
      <c r="A48" s="1" t="s">
        <v>100</v>
      </c>
    </row>
    <row r="49" spans="1:4" x14ac:dyDescent="0.25">
      <c r="C49" t="s">
        <v>28</v>
      </c>
      <c r="D49" t="s">
        <v>29</v>
      </c>
    </row>
    <row r="50" spans="1:4" x14ac:dyDescent="0.25">
      <c r="A50" t="s">
        <v>101</v>
      </c>
      <c r="C50" s="10">
        <f>+D45</f>
        <v>11173.93</v>
      </c>
    </row>
    <row r="51" spans="1:4" x14ac:dyDescent="0.25">
      <c r="A51" t="s">
        <v>103</v>
      </c>
      <c r="D51">
        <v>0</v>
      </c>
    </row>
    <row r="52" spans="1:4" x14ac:dyDescent="0.25">
      <c r="A52" t="s">
        <v>102</v>
      </c>
      <c r="C52" s="10">
        <f>+C50-D51</f>
        <v>11173.93</v>
      </c>
    </row>
    <row r="54" spans="1:4" x14ac:dyDescent="0.25">
      <c r="A54" s="1" t="s">
        <v>104</v>
      </c>
    </row>
    <row r="55" spans="1:4" x14ac:dyDescent="0.25">
      <c r="C55" t="s">
        <v>28</v>
      </c>
      <c r="D55" t="s">
        <v>29</v>
      </c>
    </row>
    <row r="56" spans="1:4" x14ac:dyDescent="0.25">
      <c r="A56" t="s">
        <v>93</v>
      </c>
      <c r="B56" t="s">
        <v>105</v>
      </c>
      <c r="C56" s="10">
        <f>+D39</f>
        <v>14166.61</v>
      </c>
    </row>
    <row r="58" spans="1:4" x14ac:dyDescent="0.25">
      <c r="A58" t="s">
        <v>33</v>
      </c>
      <c r="B58" s="8">
        <v>0.15</v>
      </c>
      <c r="C58" s="10"/>
      <c r="D58" s="10">
        <f>+C56*0.15</f>
        <v>2124.9915000000001</v>
      </c>
    </row>
    <row r="59" spans="1:4" x14ac:dyDescent="0.25">
      <c r="A59" t="s">
        <v>34</v>
      </c>
      <c r="B59" s="8">
        <v>0.06</v>
      </c>
      <c r="C59" s="10"/>
      <c r="D59" s="10">
        <f>+C56*0.06</f>
        <v>849.99660000000006</v>
      </c>
    </row>
    <row r="60" spans="1:4" x14ac:dyDescent="0.25">
      <c r="A60" t="s">
        <v>35</v>
      </c>
      <c r="B60" s="9">
        <v>1.25E-3</v>
      </c>
      <c r="C60" s="10"/>
      <c r="D60" s="10">
        <f>+C56*0.00125</f>
        <v>17.7082625</v>
      </c>
    </row>
    <row r="61" spans="1:4" x14ac:dyDescent="0.25">
      <c r="A61" t="s">
        <v>36</v>
      </c>
      <c r="C61" s="10"/>
      <c r="D61" s="11">
        <v>0</v>
      </c>
    </row>
    <row r="62" spans="1:4" x14ac:dyDescent="0.25">
      <c r="A62" t="s">
        <v>37</v>
      </c>
      <c r="C62" s="10"/>
      <c r="D62" s="10">
        <f>SUM(D58:D61)</f>
        <v>2992.6963624999999</v>
      </c>
    </row>
    <row r="63" spans="1:4" x14ac:dyDescent="0.25">
      <c r="C63" s="10"/>
      <c r="D63" s="10"/>
    </row>
    <row r="64" spans="1:4" x14ac:dyDescent="0.25">
      <c r="A64" s="1" t="s">
        <v>106</v>
      </c>
      <c r="B64" s="1"/>
      <c r="C64" s="12">
        <f>+C56-D62</f>
        <v>11173.913637500002</v>
      </c>
      <c r="D64" s="10"/>
    </row>
  </sheetData>
  <printOptions horizontalCentered="1"/>
  <pageMargins left="0.51181102362204722" right="0.31496062992125984" top="0.55118110236220474" bottom="0.15748031496062992" header="0.31496062992125984" footer="0.31496062992125984"/>
  <pageSetup paperSize="9" scale="8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7"/>
  <sheetViews>
    <sheetView workbookViewId="0">
      <selection activeCell="A34" sqref="A34"/>
    </sheetView>
  </sheetViews>
  <sheetFormatPr baseColWidth="10" defaultRowHeight="15" x14ac:dyDescent="0.25"/>
  <cols>
    <col min="1" max="1" width="15.28515625" customWidth="1"/>
    <col min="3" max="3" width="13.140625" bestFit="1" customWidth="1"/>
  </cols>
  <sheetData>
    <row r="1" spans="1:8" x14ac:dyDescent="0.25">
      <c r="B1" s="1" t="s">
        <v>1</v>
      </c>
    </row>
    <row r="3" spans="1:8" x14ac:dyDescent="0.25">
      <c r="A3" s="2" t="s">
        <v>107</v>
      </c>
    </row>
    <row r="4" spans="1:8" x14ac:dyDescent="0.25">
      <c r="A4" s="2"/>
    </row>
    <row r="5" spans="1:8" x14ac:dyDescent="0.25">
      <c r="A5" s="2"/>
    </row>
    <row r="6" spans="1:8" x14ac:dyDescent="0.25">
      <c r="A6" t="s">
        <v>109</v>
      </c>
    </row>
    <row r="7" spans="1:8" x14ac:dyDescent="0.25">
      <c r="A7" t="s">
        <v>108</v>
      </c>
      <c r="B7">
        <v>840</v>
      </c>
    </row>
    <row r="8" spans="1:8" x14ac:dyDescent="0.25">
      <c r="A8" t="s">
        <v>67</v>
      </c>
      <c r="B8" s="15">
        <v>37987</v>
      </c>
    </row>
    <row r="9" spans="1:8" x14ac:dyDescent="0.25">
      <c r="A9" s="1" t="s">
        <v>110</v>
      </c>
    </row>
    <row r="10" spans="1:8" x14ac:dyDescent="0.25">
      <c r="A10" s="1"/>
      <c r="B10" t="s">
        <v>26</v>
      </c>
      <c r="C10" t="s">
        <v>27</v>
      </c>
      <c r="D10" t="s">
        <v>111</v>
      </c>
      <c r="F10" t="s">
        <v>26</v>
      </c>
      <c r="G10" t="s">
        <v>27</v>
      </c>
      <c r="H10" t="s">
        <v>111</v>
      </c>
    </row>
    <row r="11" spans="1:8" x14ac:dyDescent="0.25">
      <c r="A11" t="s">
        <v>69</v>
      </c>
      <c r="B11">
        <v>20</v>
      </c>
      <c r="C11">
        <v>800</v>
      </c>
      <c r="D11">
        <f>+B11*C11</f>
        <v>16000</v>
      </c>
      <c r="E11" t="s">
        <v>75</v>
      </c>
      <c r="F11">
        <v>25</v>
      </c>
      <c r="G11">
        <v>840</v>
      </c>
      <c r="H11">
        <f>+F11*G11</f>
        <v>21000</v>
      </c>
    </row>
    <row r="12" spans="1:8" x14ac:dyDescent="0.25">
      <c r="A12" t="s">
        <v>70</v>
      </c>
      <c r="B12">
        <v>18</v>
      </c>
      <c r="C12">
        <v>800</v>
      </c>
      <c r="D12">
        <f t="shared" ref="D12:D16" si="0">+B12*C12</f>
        <v>14400</v>
      </c>
      <c r="E12" t="s">
        <v>76</v>
      </c>
      <c r="F12">
        <v>21</v>
      </c>
      <c r="G12">
        <v>840</v>
      </c>
      <c r="H12">
        <f t="shared" ref="H12:H15" si="1">+F12*G12</f>
        <v>17640</v>
      </c>
    </row>
    <row r="13" spans="1:8" x14ac:dyDescent="0.25">
      <c r="A13" t="s">
        <v>71</v>
      </c>
      <c r="B13">
        <v>23</v>
      </c>
      <c r="C13">
        <v>800</v>
      </c>
      <c r="D13">
        <f t="shared" si="0"/>
        <v>18400</v>
      </c>
      <c r="E13" t="s">
        <v>77</v>
      </c>
      <c r="F13">
        <v>17</v>
      </c>
      <c r="G13">
        <v>840</v>
      </c>
      <c r="H13">
        <f t="shared" si="1"/>
        <v>14280</v>
      </c>
    </row>
    <row r="14" spans="1:8" x14ac:dyDescent="0.25">
      <c r="A14" t="s">
        <v>72</v>
      </c>
      <c r="B14">
        <v>14</v>
      </c>
      <c r="C14">
        <v>800</v>
      </c>
      <c r="D14">
        <f t="shared" si="0"/>
        <v>11200</v>
      </c>
      <c r="E14" t="s">
        <v>78</v>
      </c>
      <c r="F14">
        <v>19</v>
      </c>
      <c r="G14">
        <v>840</v>
      </c>
      <c r="H14">
        <f t="shared" si="1"/>
        <v>15960</v>
      </c>
    </row>
    <row r="15" spans="1:8" x14ac:dyDescent="0.25">
      <c r="A15" t="s">
        <v>73</v>
      </c>
      <c r="B15">
        <v>19</v>
      </c>
      <c r="C15">
        <v>800</v>
      </c>
      <c r="D15">
        <f t="shared" si="0"/>
        <v>15200</v>
      </c>
      <c r="E15" t="s">
        <v>79</v>
      </c>
      <c r="F15">
        <v>23</v>
      </c>
      <c r="G15">
        <v>840</v>
      </c>
      <c r="H15">
        <f t="shared" si="1"/>
        <v>19320</v>
      </c>
    </row>
    <row r="16" spans="1:8" x14ac:dyDescent="0.25">
      <c r="A16" t="s">
        <v>74</v>
      </c>
      <c r="B16">
        <v>25</v>
      </c>
      <c r="C16">
        <v>800</v>
      </c>
      <c r="D16">
        <f t="shared" si="0"/>
        <v>20000</v>
      </c>
    </row>
    <row r="18" spans="1:5" x14ac:dyDescent="0.25">
      <c r="C18" t="s">
        <v>28</v>
      </c>
      <c r="D18" t="s">
        <v>29</v>
      </c>
    </row>
    <row r="19" spans="1:5" x14ac:dyDescent="0.25">
      <c r="A19" s="1" t="s">
        <v>112</v>
      </c>
      <c r="C19" s="16">
        <f>(D16+H11+H12+H13+H14+H15)/12</f>
        <v>9016.6666666666661</v>
      </c>
      <c r="E19" t="s">
        <v>81</v>
      </c>
    </row>
    <row r="20" spans="1:5" x14ac:dyDescent="0.25">
      <c r="E20" s="3" t="s">
        <v>113</v>
      </c>
    </row>
    <row r="21" spans="1:5" x14ac:dyDescent="0.25">
      <c r="A21" t="s">
        <v>33</v>
      </c>
      <c r="B21" s="8">
        <v>0.15</v>
      </c>
      <c r="C21" s="10"/>
      <c r="D21" s="10">
        <f>+C19*0.15</f>
        <v>1352.4999999999998</v>
      </c>
    </row>
    <row r="22" spans="1:5" x14ac:dyDescent="0.25">
      <c r="A22" t="s">
        <v>34</v>
      </c>
      <c r="B22" s="8">
        <v>0.05</v>
      </c>
      <c r="C22" s="10"/>
      <c r="D22" s="10">
        <f>+C19*0.05</f>
        <v>450.83333333333331</v>
      </c>
    </row>
    <row r="23" spans="1:5" x14ac:dyDescent="0.25">
      <c r="A23" t="s">
        <v>35</v>
      </c>
      <c r="B23" s="9">
        <v>1.25E-3</v>
      </c>
      <c r="C23" s="10"/>
      <c r="D23" s="10">
        <f>+C19*0.00125</f>
        <v>11.270833333333332</v>
      </c>
    </row>
    <row r="24" spans="1:5" x14ac:dyDescent="0.25">
      <c r="A24" t="s">
        <v>36</v>
      </c>
      <c r="C24" s="10"/>
      <c r="D24" s="11">
        <v>0</v>
      </c>
    </row>
    <row r="25" spans="1:5" x14ac:dyDescent="0.25">
      <c r="A25" t="s">
        <v>37</v>
      </c>
      <c r="C25" s="10"/>
      <c r="D25" s="10">
        <f>SUM(D21:D24)</f>
        <v>1814.6041666666663</v>
      </c>
    </row>
    <row r="26" spans="1:5" x14ac:dyDescent="0.25">
      <c r="C26" s="10"/>
      <c r="D26" s="10"/>
    </row>
    <row r="27" spans="1:5" x14ac:dyDescent="0.25">
      <c r="A27" s="1" t="s">
        <v>83</v>
      </c>
      <c r="B27" s="1"/>
      <c r="C27" s="12">
        <f>+C19-D25</f>
        <v>7202.0625</v>
      </c>
      <c r="D27" s="10"/>
    </row>
    <row r="30" spans="1:5" x14ac:dyDescent="0.25">
      <c r="A30" s="1" t="s">
        <v>114</v>
      </c>
      <c r="D30" s="17" t="s">
        <v>149</v>
      </c>
      <c r="E30" s="18"/>
    </row>
    <row r="31" spans="1:5" x14ac:dyDescent="0.25">
      <c r="D31" s="19" t="s">
        <v>115</v>
      </c>
      <c r="E31" s="20"/>
    </row>
    <row r="33" spans="1:4" x14ac:dyDescent="0.25">
      <c r="A33" t="s">
        <v>150</v>
      </c>
    </row>
    <row r="34" spans="1:4" x14ac:dyDescent="0.25">
      <c r="A34" s="3" t="s">
        <v>117</v>
      </c>
    </row>
    <row r="35" spans="1:4" x14ac:dyDescent="0.25">
      <c r="A35" t="s">
        <v>116</v>
      </c>
    </row>
    <row r="36" spans="1:4" x14ac:dyDescent="0.25">
      <c r="A36" s="3" t="s">
        <v>118</v>
      </c>
    </row>
    <row r="38" spans="1:4" x14ac:dyDescent="0.25">
      <c r="A38" t="s">
        <v>90</v>
      </c>
    </row>
    <row r="39" spans="1:4" x14ac:dyDescent="0.25">
      <c r="A39" t="s">
        <v>119</v>
      </c>
    </row>
    <row r="41" spans="1:4" x14ac:dyDescent="0.25">
      <c r="A41" t="s">
        <v>94</v>
      </c>
    </row>
    <row r="42" spans="1:4" x14ac:dyDescent="0.25">
      <c r="A42" t="s">
        <v>95</v>
      </c>
      <c r="B42">
        <v>840</v>
      </c>
      <c r="C42">
        <v>18</v>
      </c>
      <c r="D42" s="21">
        <f>+B42*C42</f>
        <v>15120</v>
      </c>
    </row>
    <row r="44" spans="1:4" x14ac:dyDescent="0.25">
      <c r="A44" t="s">
        <v>96</v>
      </c>
    </row>
    <row r="45" spans="1:4" x14ac:dyDescent="0.25">
      <c r="A45" t="s">
        <v>97</v>
      </c>
    </row>
    <row r="46" spans="1:4" x14ac:dyDescent="0.25">
      <c r="A46" t="s">
        <v>120</v>
      </c>
    </row>
    <row r="48" spans="1:4" x14ac:dyDescent="0.25">
      <c r="A48" t="s">
        <v>99</v>
      </c>
      <c r="B48">
        <v>658.35</v>
      </c>
      <c r="C48">
        <v>18</v>
      </c>
      <c r="D48" s="21">
        <f>+B48*C48</f>
        <v>11850.300000000001</v>
      </c>
    </row>
    <row r="51" spans="1:4" x14ac:dyDescent="0.25">
      <c r="A51" s="1" t="s">
        <v>100</v>
      </c>
    </row>
    <row r="52" spans="1:4" x14ac:dyDescent="0.25">
      <c r="C52" t="s">
        <v>28</v>
      </c>
      <c r="D52" t="s">
        <v>29</v>
      </c>
    </row>
    <row r="53" spans="1:4" x14ac:dyDescent="0.25">
      <c r="A53" t="s">
        <v>101</v>
      </c>
      <c r="C53" s="10">
        <f>+D48</f>
        <v>11850.300000000001</v>
      </c>
    </row>
    <row r="54" spans="1:4" x14ac:dyDescent="0.25">
      <c r="A54" t="s">
        <v>103</v>
      </c>
      <c r="D54">
        <v>0</v>
      </c>
    </row>
    <row r="55" spans="1:4" x14ac:dyDescent="0.25">
      <c r="A55" t="s">
        <v>102</v>
      </c>
      <c r="C55" s="10">
        <f>+C53-D54</f>
        <v>11850.300000000001</v>
      </c>
    </row>
    <row r="57" spans="1:4" x14ac:dyDescent="0.25">
      <c r="A57" s="1" t="s">
        <v>104</v>
      </c>
    </row>
    <row r="58" spans="1:4" x14ac:dyDescent="0.25">
      <c r="C58" t="s">
        <v>28</v>
      </c>
      <c r="D58" t="s">
        <v>29</v>
      </c>
    </row>
    <row r="59" spans="1:4" x14ac:dyDescent="0.25">
      <c r="A59" t="s">
        <v>93</v>
      </c>
      <c r="B59" t="s">
        <v>121</v>
      </c>
      <c r="C59" s="10">
        <f>+D42</f>
        <v>15120</v>
      </c>
    </row>
    <row r="61" spans="1:4" x14ac:dyDescent="0.25">
      <c r="A61" t="s">
        <v>33</v>
      </c>
      <c r="B61" s="8">
        <v>0.15</v>
      </c>
      <c r="C61" s="10"/>
      <c r="D61" s="10">
        <f>+C59*0.15</f>
        <v>2268</v>
      </c>
    </row>
    <row r="62" spans="1:4" x14ac:dyDescent="0.25">
      <c r="A62" t="s">
        <v>34</v>
      </c>
      <c r="B62" s="22">
        <v>6.5000000000000002E-2</v>
      </c>
      <c r="C62" s="10"/>
      <c r="D62" s="10">
        <f>+C59*0.065</f>
        <v>982.80000000000007</v>
      </c>
    </row>
    <row r="63" spans="1:4" x14ac:dyDescent="0.25">
      <c r="A63" t="s">
        <v>35</v>
      </c>
      <c r="B63" s="9">
        <v>1.25E-3</v>
      </c>
      <c r="C63" s="10"/>
      <c r="D63" s="10">
        <f>+C59*0.00125</f>
        <v>18.900000000000002</v>
      </c>
    </row>
    <row r="64" spans="1:4" x14ac:dyDescent="0.25">
      <c r="A64" t="s">
        <v>36</v>
      </c>
      <c r="C64" s="10"/>
      <c r="D64" s="11">
        <v>0</v>
      </c>
    </row>
    <row r="65" spans="1:4" x14ac:dyDescent="0.25">
      <c r="A65" t="s">
        <v>37</v>
      </c>
      <c r="C65" s="10"/>
      <c r="D65" s="10">
        <f>SUM(D61:D64)</f>
        <v>3269.7000000000003</v>
      </c>
    </row>
    <row r="66" spans="1:4" x14ac:dyDescent="0.25">
      <c r="C66" s="10"/>
      <c r="D66" s="10"/>
    </row>
    <row r="67" spans="1:4" x14ac:dyDescent="0.25">
      <c r="A67" s="1" t="s">
        <v>106</v>
      </c>
      <c r="B67" s="1"/>
      <c r="C67" s="12">
        <f>+C59-D65</f>
        <v>11850.3</v>
      </c>
      <c r="D67" s="10"/>
    </row>
  </sheetData>
  <printOptions horizontalCentered="1"/>
  <pageMargins left="0.51181102362204722" right="0.11811023622047245" top="0.55118110236220474" bottom="0.15748031496062992" header="0.31496062992125984" footer="0.31496062992125984"/>
  <pageSetup paperSize="9" scale="8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workbookViewId="0">
      <selection activeCell="H41" sqref="H41"/>
    </sheetView>
  </sheetViews>
  <sheetFormatPr baseColWidth="10" defaultRowHeight="15" x14ac:dyDescent="0.25"/>
  <cols>
    <col min="1" max="1" width="15.28515625" customWidth="1"/>
  </cols>
  <sheetData>
    <row r="1" spans="1:2" x14ac:dyDescent="0.25">
      <c r="B1" s="1" t="s">
        <v>1</v>
      </c>
    </row>
    <row r="3" spans="1:2" x14ac:dyDescent="0.25">
      <c r="A3" s="2" t="s">
        <v>122</v>
      </c>
    </row>
    <row r="5" spans="1:2" x14ac:dyDescent="0.25">
      <c r="A5" t="s">
        <v>40</v>
      </c>
    </row>
    <row r="6" spans="1:2" x14ac:dyDescent="0.25">
      <c r="A6" t="s">
        <v>41</v>
      </c>
      <c r="B6" s="3">
        <v>45500</v>
      </c>
    </row>
    <row r="7" spans="1:2" x14ac:dyDescent="0.25">
      <c r="A7" t="s">
        <v>123</v>
      </c>
    </row>
    <row r="8" spans="1:2" x14ac:dyDescent="0.25">
      <c r="A8" t="s">
        <v>134</v>
      </c>
    </row>
    <row r="10" spans="1:2" x14ac:dyDescent="0.25">
      <c r="A10" t="s">
        <v>126</v>
      </c>
    </row>
    <row r="11" spans="1:2" x14ac:dyDescent="0.25">
      <c r="A11" t="s">
        <v>127</v>
      </c>
    </row>
    <row r="12" spans="1:2" x14ac:dyDescent="0.25">
      <c r="A12" t="s">
        <v>128</v>
      </c>
    </row>
    <row r="13" spans="1:2" x14ac:dyDescent="0.25">
      <c r="A13" t="s">
        <v>129</v>
      </c>
    </row>
    <row r="14" spans="1:2" x14ac:dyDescent="0.25">
      <c r="A14" t="s">
        <v>132</v>
      </c>
    </row>
    <row r="15" spans="1:2" x14ac:dyDescent="0.25">
      <c r="A15" t="s">
        <v>133</v>
      </c>
    </row>
    <row r="17" spans="1:6" x14ac:dyDescent="0.25">
      <c r="A17" t="s">
        <v>44</v>
      </c>
    </row>
    <row r="18" spans="1:6" x14ac:dyDescent="0.25">
      <c r="B18" t="s">
        <v>26</v>
      </c>
      <c r="C18" t="s">
        <v>125</v>
      </c>
      <c r="D18" t="s">
        <v>28</v>
      </c>
      <c r="E18" t="s">
        <v>29</v>
      </c>
    </row>
    <row r="19" spans="1:6" x14ac:dyDescent="0.25">
      <c r="A19" t="s">
        <v>45</v>
      </c>
      <c r="D19" s="10">
        <v>45500</v>
      </c>
    </row>
    <row r="20" spans="1:6" x14ac:dyDescent="0.25">
      <c r="A20" t="s">
        <v>124</v>
      </c>
      <c r="B20">
        <v>2</v>
      </c>
      <c r="C20" s="23">
        <f>45500/30</f>
        <v>1516.6666666666667</v>
      </c>
      <c r="D20" s="10">
        <f>-B20*C20</f>
        <v>-3033.3333333333335</v>
      </c>
    </row>
    <row r="21" spans="1:6" x14ac:dyDescent="0.25">
      <c r="A21" t="s">
        <v>30</v>
      </c>
      <c r="B21">
        <v>3</v>
      </c>
      <c r="C21">
        <v>379.16</v>
      </c>
      <c r="D21" s="10">
        <f>+B21*C21</f>
        <v>1137.48</v>
      </c>
    </row>
    <row r="22" spans="1:6" x14ac:dyDescent="0.25">
      <c r="A22" t="s">
        <v>130</v>
      </c>
      <c r="B22">
        <v>1</v>
      </c>
      <c r="C22">
        <v>1516.67</v>
      </c>
      <c r="D22" s="10">
        <f>+B22*C22</f>
        <v>1516.67</v>
      </c>
    </row>
    <row r="23" spans="1:6" x14ac:dyDescent="0.25">
      <c r="A23" t="s">
        <v>131</v>
      </c>
      <c r="B23">
        <v>1</v>
      </c>
      <c r="C23">
        <v>473.95</v>
      </c>
      <c r="D23" s="11">
        <f>+B23*C23</f>
        <v>473.95</v>
      </c>
    </row>
    <row r="24" spans="1:6" x14ac:dyDescent="0.25">
      <c r="A24" t="s">
        <v>32</v>
      </c>
      <c r="D24" s="10">
        <f>SUM(D19:D23)</f>
        <v>45594.766666666663</v>
      </c>
    </row>
    <row r="25" spans="1:6" x14ac:dyDescent="0.25">
      <c r="A25" t="s">
        <v>33</v>
      </c>
      <c r="B25" s="8">
        <v>0.15</v>
      </c>
      <c r="C25" s="8"/>
      <c r="E25" s="10">
        <f>+D24*0.15</f>
        <v>6839.2149999999992</v>
      </c>
    </row>
    <row r="26" spans="1:6" x14ac:dyDescent="0.25">
      <c r="A26" t="s">
        <v>34</v>
      </c>
      <c r="B26" s="8">
        <v>0.08</v>
      </c>
      <c r="C26" s="8"/>
      <c r="E26" s="10">
        <f>+D24*0.08</f>
        <v>3647.5813333333331</v>
      </c>
      <c r="F26" s="10">
        <f>+E25+E26+E27</f>
        <v>10543.789791666664</v>
      </c>
    </row>
    <row r="27" spans="1:6" x14ac:dyDescent="0.25">
      <c r="A27" t="s">
        <v>35</v>
      </c>
      <c r="B27" s="9">
        <v>1.25E-3</v>
      </c>
      <c r="C27" s="9"/>
      <c r="E27" s="10">
        <f>+D24*0.00125</f>
        <v>56.993458333333329</v>
      </c>
    </row>
    <row r="28" spans="1:6" x14ac:dyDescent="0.25">
      <c r="A28" t="s">
        <v>36</v>
      </c>
      <c r="E28" s="11">
        <f>+A53</f>
        <v>750.37102083333366</v>
      </c>
    </row>
    <row r="29" spans="1:6" x14ac:dyDescent="0.25">
      <c r="E29" s="10">
        <f>SUM(E25:E28)</f>
        <v>11294.160812499998</v>
      </c>
    </row>
    <row r="30" spans="1:6" s="1" customFormat="1" x14ac:dyDescent="0.25">
      <c r="A30" s="1" t="s">
        <v>46</v>
      </c>
      <c r="D30" s="12">
        <f>+D24-E29</f>
        <v>34300.605854166664</v>
      </c>
    </row>
    <row r="33" spans="1:4" x14ac:dyDescent="0.25">
      <c r="A33" s="1" t="s">
        <v>47</v>
      </c>
    </row>
    <row r="34" spans="1:4" x14ac:dyDescent="0.25">
      <c r="A34" t="s">
        <v>48</v>
      </c>
    </row>
    <row r="36" spans="1:4" x14ac:dyDescent="0.25">
      <c r="A36" s="5" t="s">
        <v>49</v>
      </c>
      <c r="B36" s="4" t="s">
        <v>51</v>
      </c>
      <c r="C36" s="4" t="s">
        <v>52</v>
      </c>
      <c r="D36" s="4" t="s">
        <v>53</v>
      </c>
    </row>
    <row r="37" spans="1:4" x14ac:dyDescent="0.25">
      <c r="A37" s="4" t="s">
        <v>50</v>
      </c>
      <c r="B37" s="4">
        <v>26936</v>
      </c>
      <c r="C37" s="13">
        <v>0</v>
      </c>
      <c r="D37" s="4">
        <f>+B37*C37</f>
        <v>0</v>
      </c>
    </row>
    <row r="38" spans="1:4" x14ac:dyDescent="0.25">
      <c r="A38" s="4" t="s">
        <v>54</v>
      </c>
      <c r="B38" s="4">
        <f>38480-B37</f>
        <v>11544</v>
      </c>
      <c r="C38" s="13">
        <v>0.1</v>
      </c>
      <c r="D38" s="4">
        <f>+B38*C38</f>
        <v>1154.4000000000001</v>
      </c>
    </row>
    <row r="39" spans="1:4" x14ac:dyDescent="0.25">
      <c r="A39" s="4" t="s">
        <v>135</v>
      </c>
      <c r="B39" s="4">
        <f>45595-B38-B37</f>
        <v>7115</v>
      </c>
      <c r="C39" s="13">
        <v>0.15</v>
      </c>
      <c r="D39" s="4">
        <f>+B39*C39</f>
        <v>1067.25</v>
      </c>
    </row>
    <row r="40" spans="1:4" x14ac:dyDescent="0.25">
      <c r="A40" s="4"/>
      <c r="B40" s="4"/>
      <c r="C40" s="13"/>
      <c r="D40" s="4"/>
    </row>
    <row r="41" spans="1:4" x14ac:dyDescent="0.25">
      <c r="A41" s="4"/>
      <c r="B41" s="4"/>
      <c r="C41" s="5" t="s">
        <v>57</v>
      </c>
      <c r="D41" s="5">
        <f>SUM(D37:D40)</f>
        <v>2221.65</v>
      </c>
    </row>
    <row r="43" spans="1:4" x14ac:dyDescent="0.25">
      <c r="A43" t="s">
        <v>58</v>
      </c>
    </row>
    <row r="44" spans="1:4" x14ac:dyDescent="0.25">
      <c r="A44" t="s">
        <v>136</v>
      </c>
    </row>
    <row r="46" spans="1:4" x14ac:dyDescent="0.25">
      <c r="A46" t="s">
        <v>60</v>
      </c>
      <c r="C46" s="10">
        <f>+F26</f>
        <v>10543.789791666664</v>
      </c>
    </row>
    <row r="47" spans="1:4" x14ac:dyDescent="0.25">
      <c r="A47" t="s">
        <v>61</v>
      </c>
      <c r="C47" s="11">
        <v>4169</v>
      </c>
      <c r="D47" t="s">
        <v>137</v>
      </c>
    </row>
    <row r="48" spans="1:4" x14ac:dyDescent="0.25">
      <c r="C48" s="10">
        <f>SUM(C46:C47)</f>
        <v>14712.789791666664</v>
      </c>
    </row>
    <row r="49" spans="1:3" x14ac:dyDescent="0.25">
      <c r="C49" s="8">
        <v>0.1</v>
      </c>
    </row>
    <row r="50" spans="1:3" x14ac:dyDescent="0.25">
      <c r="B50" s="14" t="s">
        <v>63</v>
      </c>
      <c r="C50" s="24">
        <f>+C48*C49</f>
        <v>1471.2789791666664</v>
      </c>
    </row>
    <row r="52" spans="1:3" x14ac:dyDescent="0.25">
      <c r="A52" s="4" t="s">
        <v>64</v>
      </c>
      <c r="B52" s="4" t="s">
        <v>65</v>
      </c>
      <c r="C52" s="4"/>
    </row>
    <row r="53" spans="1:3" x14ac:dyDescent="0.25">
      <c r="A53" s="25">
        <f>+B53-C53</f>
        <v>750.37102083333366</v>
      </c>
      <c r="B53" s="25">
        <f>+D41</f>
        <v>2221.65</v>
      </c>
      <c r="C53" s="25">
        <f>+C50</f>
        <v>1471.2789791666664</v>
      </c>
    </row>
  </sheetData>
  <printOptions horizontalCentered="1"/>
  <pageMargins left="0.70866141732283472" right="0.51181102362204722" top="0.55118110236220474" bottom="0.35433070866141736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workbookViewId="0">
      <selection activeCell="H13" sqref="H13"/>
    </sheetView>
  </sheetViews>
  <sheetFormatPr baseColWidth="10" defaultRowHeight="15" x14ac:dyDescent="0.25"/>
  <cols>
    <col min="1" max="1" width="15.28515625" customWidth="1"/>
    <col min="3" max="3" width="13.140625" bestFit="1" customWidth="1"/>
  </cols>
  <sheetData>
    <row r="1" spans="1:5" x14ac:dyDescent="0.25">
      <c r="B1" s="1" t="s">
        <v>1</v>
      </c>
    </row>
    <row r="3" spans="1:5" x14ac:dyDescent="0.25">
      <c r="A3" s="2" t="s">
        <v>138</v>
      </c>
    </row>
    <row r="5" spans="1:5" x14ac:dyDescent="0.25">
      <c r="A5" t="s">
        <v>40</v>
      </c>
      <c r="B5">
        <v>19500</v>
      </c>
    </row>
    <row r="6" spans="1:5" x14ac:dyDescent="0.25">
      <c r="A6" t="s">
        <v>67</v>
      </c>
      <c r="B6" s="15">
        <v>43028</v>
      </c>
    </row>
    <row r="9" spans="1:5" x14ac:dyDescent="0.25">
      <c r="A9" s="1" t="s">
        <v>139</v>
      </c>
      <c r="D9" s="17" t="s">
        <v>84</v>
      </c>
      <c r="E9" s="18"/>
    </row>
    <row r="10" spans="1:5" x14ac:dyDescent="0.25">
      <c r="D10" s="19" t="s">
        <v>85</v>
      </c>
      <c r="E10" s="20"/>
    </row>
    <row r="12" spans="1:5" x14ac:dyDescent="0.25">
      <c r="A12" t="s">
        <v>140</v>
      </c>
    </row>
    <row r="13" spans="1:5" x14ac:dyDescent="0.25">
      <c r="A13" t="s">
        <v>142</v>
      </c>
    </row>
    <row r="14" spans="1:5" x14ac:dyDescent="0.25">
      <c r="A14" s="3" t="s">
        <v>141</v>
      </c>
    </row>
    <row r="16" spans="1:5" x14ac:dyDescent="0.25">
      <c r="A16" t="s">
        <v>90</v>
      </c>
    </row>
    <row r="17" spans="1:4" x14ac:dyDescent="0.25">
      <c r="A17" t="s">
        <v>91</v>
      </c>
    </row>
    <row r="18" spans="1:4" x14ac:dyDescent="0.25">
      <c r="A18" s="3" t="s">
        <v>143</v>
      </c>
    </row>
    <row r="20" spans="1:4" x14ac:dyDescent="0.25">
      <c r="A20" t="s">
        <v>94</v>
      </c>
    </row>
    <row r="21" spans="1:4" x14ac:dyDescent="0.25">
      <c r="A21" t="s">
        <v>95</v>
      </c>
      <c r="B21">
        <v>650</v>
      </c>
      <c r="C21">
        <v>4</v>
      </c>
      <c r="D21" s="21">
        <f>+B21*C21</f>
        <v>2600</v>
      </c>
    </row>
    <row r="23" spans="1:4" x14ac:dyDescent="0.25">
      <c r="A23" t="s">
        <v>96</v>
      </c>
    </row>
    <row r="24" spans="1:4" x14ac:dyDescent="0.25">
      <c r="A24" t="s">
        <v>97</v>
      </c>
    </row>
    <row r="25" spans="1:4" x14ac:dyDescent="0.25">
      <c r="A25" t="s">
        <v>144</v>
      </c>
    </row>
    <row r="27" spans="1:4" x14ac:dyDescent="0.25">
      <c r="A27" t="s">
        <v>99</v>
      </c>
      <c r="B27">
        <v>532.19000000000005</v>
      </c>
      <c r="C27">
        <v>4</v>
      </c>
      <c r="D27" s="21">
        <f>+B27*C27</f>
        <v>2128.7600000000002</v>
      </c>
    </row>
    <row r="30" spans="1:4" x14ac:dyDescent="0.25">
      <c r="A30" s="1" t="s">
        <v>100</v>
      </c>
    </row>
    <row r="31" spans="1:4" x14ac:dyDescent="0.25">
      <c r="C31" t="s">
        <v>28</v>
      </c>
      <c r="D31" t="s">
        <v>29</v>
      </c>
    </row>
    <row r="32" spans="1:4" x14ac:dyDescent="0.25">
      <c r="A32" t="s">
        <v>101</v>
      </c>
      <c r="C32" s="10">
        <f>+D27</f>
        <v>2128.7600000000002</v>
      </c>
    </row>
    <row r="33" spans="1:4" x14ac:dyDescent="0.25">
      <c r="A33" t="s">
        <v>103</v>
      </c>
      <c r="D33">
        <v>0</v>
      </c>
    </row>
    <row r="34" spans="1:4" x14ac:dyDescent="0.25">
      <c r="A34" t="s">
        <v>102</v>
      </c>
      <c r="C34" s="10">
        <f>+C32-D33</f>
        <v>2128.7600000000002</v>
      </c>
    </row>
    <row r="36" spans="1:4" x14ac:dyDescent="0.25">
      <c r="A36" s="1" t="s">
        <v>104</v>
      </c>
    </row>
    <row r="37" spans="1:4" x14ac:dyDescent="0.25">
      <c r="C37" t="s">
        <v>28</v>
      </c>
      <c r="D37" t="s">
        <v>29</v>
      </c>
    </row>
    <row r="38" spans="1:4" x14ac:dyDescent="0.25">
      <c r="A38" t="s">
        <v>93</v>
      </c>
      <c r="B38" t="s">
        <v>145</v>
      </c>
      <c r="C38" s="10">
        <f>+D21</f>
        <v>2600</v>
      </c>
    </row>
    <row r="40" spans="1:4" x14ac:dyDescent="0.25">
      <c r="A40" t="s">
        <v>33</v>
      </c>
      <c r="B40" s="8">
        <v>0.15</v>
      </c>
      <c r="C40" s="10"/>
      <c r="D40" s="10">
        <f>+C38*0.15</f>
        <v>390</v>
      </c>
    </row>
    <row r="41" spans="1:4" x14ac:dyDescent="0.25">
      <c r="A41" t="s">
        <v>34</v>
      </c>
      <c r="B41" s="8">
        <v>0.03</v>
      </c>
      <c r="C41" s="10"/>
      <c r="D41" s="10">
        <f>+C38*0.03</f>
        <v>78</v>
      </c>
    </row>
    <row r="42" spans="1:4" x14ac:dyDescent="0.25">
      <c r="A42" t="s">
        <v>35</v>
      </c>
      <c r="B42" s="9">
        <v>1.25E-3</v>
      </c>
      <c r="C42" s="10"/>
      <c r="D42" s="10">
        <f>+C38*0.00125</f>
        <v>3.25</v>
      </c>
    </row>
    <row r="43" spans="1:4" x14ac:dyDescent="0.25">
      <c r="A43" t="s">
        <v>36</v>
      </c>
      <c r="C43" s="10"/>
      <c r="D43" s="11">
        <v>0</v>
      </c>
    </row>
    <row r="44" spans="1:4" x14ac:dyDescent="0.25">
      <c r="A44" t="s">
        <v>37</v>
      </c>
      <c r="C44" s="10"/>
      <c r="D44" s="10">
        <f>SUM(D40:D43)</f>
        <v>471.25</v>
      </c>
    </row>
    <row r="45" spans="1:4" x14ac:dyDescent="0.25">
      <c r="C45" s="10"/>
      <c r="D45" s="10"/>
    </row>
    <row r="46" spans="1:4" x14ac:dyDescent="0.25">
      <c r="A46" s="1" t="s">
        <v>106</v>
      </c>
      <c r="B46" s="1"/>
      <c r="C46" s="12">
        <f>+C38-D44</f>
        <v>2128.75</v>
      </c>
      <c r="D46" s="10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1"/>
  <sheetViews>
    <sheetView workbookViewId="0">
      <selection activeCell="H18" sqref="H18"/>
    </sheetView>
  </sheetViews>
  <sheetFormatPr baseColWidth="10" defaultRowHeight="15" x14ac:dyDescent="0.25"/>
  <cols>
    <col min="1" max="1" width="15.28515625" customWidth="1"/>
    <col min="3" max="3" width="13.140625" bestFit="1" customWidth="1"/>
    <col min="7" max="7" width="12.42578125" customWidth="1"/>
    <col min="8" max="8" width="13" customWidth="1"/>
  </cols>
  <sheetData>
    <row r="1" spans="1:5" x14ac:dyDescent="0.25">
      <c r="B1" s="1" t="s">
        <v>1</v>
      </c>
    </row>
    <row r="3" spans="1:5" x14ac:dyDescent="0.25">
      <c r="A3" s="2" t="s">
        <v>146</v>
      </c>
    </row>
    <row r="5" spans="1:5" x14ac:dyDescent="0.25">
      <c r="A5" t="s">
        <v>40</v>
      </c>
      <c r="B5" s="16">
        <v>50000</v>
      </c>
    </row>
    <row r="6" spans="1:5" x14ac:dyDescent="0.25">
      <c r="A6" t="s">
        <v>67</v>
      </c>
      <c r="B6" s="15">
        <v>36892</v>
      </c>
    </row>
    <row r="7" spans="1:5" x14ac:dyDescent="0.25">
      <c r="A7" t="s">
        <v>147</v>
      </c>
    </row>
    <row r="8" spans="1:5" x14ac:dyDescent="0.25">
      <c r="A8" t="s">
        <v>108</v>
      </c>
      <c r="B8" s="16">
        <f>50000/30</f>
        <v>1666.6666666666667</v>
      </c>
    </row>
    <row r="9" spans="1:5" x14ac:dyDescent="0.25">
      <c r="A9" t="s">
        <v>157</v>
      </c>
      <c r="B9" s="16">
        <f>+B8/8</f>
        <v>208.33333333333334</v>
      </c>
    </row>
    <row r="10" spans="1:5" x14ac:dyDescent="0.25">
      <c r="A10" t="s">
        <v>158</v>
      </c>
      <c r="B10" s="16">
        <f>+B9*2</f>
        <v>416.66666666666669</v>
      </c>
    </row>
    <row r="12" spans="1:5" x14ac:dyDescent="0.25">
      <c r="A12" s="1" t="s">
        <v>139</v>
      </c>
      <c r="D12" s="17" t="s">
        <v>148</v>
      </c>
      <c r="E12" s="18"/>
    </row>
    <row r="13" spans="1:5" x14ac:dyDescent="0.25">
      <c r="D13" s="19" t="s">
        <v>85</v>
      </c>
      <c r="E13" s="20"/>
    </row>
    <row r="15" spans="1:5" x14ac:dyDescent="0.25">
      <c r="A15" t="s">
        <v>151</v>
      </c>
    </row>
    <row r="16" spans="1:5" x14ac:dyDescent="0.25">
      <c r="A16" t="s">
        <v>152</v>
      </c>
    </row>
    <row r="17" spans="1:4" x14ac:dyDescent="0.25">
      <c r="A17" s="3" t="s">
        <v>153</v>
      </c>
    </row>
    <row r="18" spans="1:4" x14ac:dyDescent="0.25">
      <c r="A18" t="s">
        <v>154</v>
      </c>
    </row>
    <row r="19" spans="1:4" x14ac:dyDescent="0.25">
      <c r="A19" s="3" t="s">
        <v>155</v>
      </c>
    </row>
    <row r="21" spans="1:4" x14ac:dyDescent="0.25">
      <c r="A21" t="s">
        <v>90</v>
      </c>
    </row>
    <row r="22" spans="1:4" x14ac:dyDescent="0.25">
      <c r="A22" t="s">
        <v>91</v>
      </c>
    </row>
    <row r="23" spans="1:4" x14ac:dyDescent="0.25">
      <c r="A23" s="3" t="s">
        <v>156</v>
      </c>
    </row>
    <row r="24" spans="1:4" x14ac:dyDescent="0.25">
      <c r="A24" s="3" t="s">
        <v>160</v>
      </c>
    </row>
    <row r="25" spans="1:4" x14ac:dyDescent="0.25">
      <c r="A25" s="3" t="s">
        <v>159</v>
      </c>
    </row>
    <row r="26" spans="1:4" x14ac:dyDescent="0.25">
      <c r="A26" s="3" t="s">
        <v>161</v>
      </c>
    </row>
    <row r="27" spans="1:4" x14ac:dyDescent="0.25">
      <c r="A27" s="3" t="s">
        <v>162</v>
      </c>
    </row>
    <row r="28" spans="1:4" x14ac:dyDescent="0.25">
      <c r="A28" s="3"/>
    </row>
    <row r="29" spans="1:4" x14ac:dyDescent="0.25">
      <c r="A29" s="26" t="s">
        <v>163</v>
      </c>
    </row>
    <row r="31" spans="1:4" x14ac:dyDescent="0.25">
      <c r="A31" t="s">
        <v>94</v>
      </c>
    </row>
    <row r="32" spans="1:4" x14ac:dyDescent="0.25">
      <c r="A32" t="s">
        <v>95</v>
      </c>
      <c r="B32">
        <v>1707.49</v>
      </c>
      <c r="C32">
        <v>24</v>
      </c>
      <c r="D32" s="21">
        <f>+B32*C32</f>
        <v>40979.760000000002</v>
      </c>
    </row>
    <row r="34" spans="1:4" x14ac:dyDescent="0.25">
      <c r="A34" t="s">
        <v>96</v>
      </c>
    </row>
    <row r="35" spans="1:4" x14ac:dyDescent="0.25">
      <c r="A35" t="s">
        <v>97</v>
      </c>
    </row>
    <row r="36" spans="1:4" x14ac:dyDescent="0.25">
      <c r="A36" t="s">
        <v>164</v>
      </c>
    </row>
    <row r="38" spans="1:4" x14ac:dyDescent="0.25">
      <c r="A38" t="s">
        <v>99</v>
      </c>
      <c r="B38">
        <v>1338.25</v>
      </c>
      <c r="C38">
        <v>24</v>
      </c>
      <c r="D38" s="21">
        <f>+B38*C38</f>
        <v>32118</v>
      </c>
    </row>
    <row r="41" spans="1:4" x14ac:dyDescent="0.25">
      <c r="A41" s="1" t="s">
        <v>100</v>
      </c>
    </row>
    <row r="42" spans="1:4" x14ac:dyDescent="0.25">
      <c r="C42" t="s">
        <v>28</v>
      </c>
      <c r="D42" t="s">
        <v>29</v>
      </c>
    </row>
    <row r="43" spans="1:4" x14ac:dyDescent="0.25">
      <c r="A43" t="s">
        <v>101</v>
      </c>
      <c r="C43" s="10">
        <f>+D38</f>
        <v>32118</v>
      </c>
    </row>
    <row r="44" spans="1:4" x14ac:dyDescent="0.25">
      <c r="A44" t="s">
        <v>103</v>
      </c>
      <c r="D44">
        <v>0</v>
      </c>
    </row>
    <row r="45" spans="1:4" x14ac:dyDescent="0.25">
      <c r="A45" t="s">
        <v>36</v>
      </c>
      <c r="D45" s="16">
        <f>+G81</f>
        <v>518.20000000000005</v>
      </c>
    </row>
    <row r="46" spans="1:4" x14ac:dyDescent="0.25">
      <c r="A46" s="1" t="s">
        <v>102</v>
      </c>
      <c r="B46" s="1"/>
      <c r="C46" s="12">
        <f>+C43-D44-D45</f>
        <v>31599.8</v>
      </c>
    </row>
    <row r="48" spans="1:4" x14ac:dyDescent="0.25">
      <c r="A48" s="1" t="s">
        <v>104</v>
      </c>
    </row>
    <row r="49" spans="1:10" x14ac:dyDescent="0.25">
      <c r="C49" t="s">
        <v>28</v>
      </c>
      <c r="D49" t="s">
        <v>29</v>
      </c>
    </row>
    <row r="50" spans="1:10" x14ac:dyDescent="0.25">
      <c r="A50" t="s">
        <v>93</v>
      </c>
      <c r="B50" t="s">
        <v>165</v>
      </c>
      <c r="C50" s="10">
        <f>+D32</f>
        <v>40979.760000000002</v>
      </c>
    </row>
    <row r="52" spans="1:10" x14ac:dyDescent="0.25">
      <c r="A52" t="s">
        <v>33</v>
      </c>
      <c r="B52" s="8">
        <v>0.15</v>
      </c>
      <c r="C52" s="10"/>
      <c r="D52" s="10">
        <f>+C50*0.15</f>
        <v>6146.9639999999999</v>
      </c>
    </row>
    <row r="53" spans="1:10" x14ac:dyDescent="0.25">
      <c r="A53" t="s">
        <v>34</v>
      </c>
      <c r="B53" s="22">
        <v>6.5000000000000002E-2</v>
      </c>
      <c r="C53" s="10"/>
      <c r="D53" s="10">
        <f>+C50*0.065</f>
        <v>2663.6844000000001</v>
      </c>
    </row>
    <row r="54" spans="1:10" x14ac:dyDescent="0.25">
      <c r="A54" t="s">
        <v>35</v>
      </c>
      <c r="B54" s="9">
        <v>1.25E-3</v>
      </c>
      <c r="C54" s="10"/>
      <c r="D54" s="10">
        <f>+C50*0.00125</f>
        <v>51.224700000000006</v>
      </c>
    </row>
    <row r="55" spans="1:10" x14ac:dyDescent="0.25">
      <c r="A55" t="s">
        <v>36</v>
      </c>
      <c r="C55" s="10"/>
      <c r="D55" s="11">
        <f>+A81</f>
        <v>643.21268999999995</v>
      </c>
    </row>
    <row r="56" spans="1:10" x14ac:dyDescent="0.25">
      <c r="A56" t="s">
        <v>37</v>
      </c>
      <c r="C56" s="10"/>
      <c r="D56" s="10">
        <f>SUM(D52:D55)</f>
        <v>9505.085790000001</v>
      </c>
    </row>
    <row r="57" spans="1:10" x14ac:dyDescent="0.25">
      <c r="C57" s="10"/>
      <c r="D57" s="10"/>
    </row>
    <row r="58" spans="1:10" x14ac:dyDescent="0.25">
      <c r="A58" s="1" t="s">
        <v>106</v>
      </c>
      <c r="B58" s="1"/>
      <c r="C58" s="12">
        <f>+C50-D56</f>
        <v>31474.674210000001</v>
      </c>
      <c r="D58" s="10"/>
    </row>
    <row r="61" spans="1:10" x14ac:dyDescent="0.25">
      <c r="A61" s="1" t="s">
        <v>168</v>
      </c>
      <c r="G61" s="1" t="s">
        <v>169</v>
      </c>
    </row>
    <row r="62" spans="1:10" x14ac:dyDescent="0.25">
      <c r="A62" t="s">
        <v>48</v>
      </c>
      <c r="G62" t="s">
        <v>48</v>
      </c>
    </row>
    <row r="64" spans="1:10" x14ac:dyDescent="0.25">
      <c r="A64" s="5" t="s">
        <v>49</v>
      </c>
      <c r="B64" s="4" t="s">
        <v>51</v>
      </c>
      <c r="C64" s="4" t="s">
        <v>52</v>
      </c>
      <c r="D64" s="4" t="s">
        <v>53</v>
      </c>
      <c r="G64" s="5" t="s">
        <v>49</v>
      </c>
      <c r="H64" s="4" t="s">
        <v>51</v>
      </c>
      <c r="I64" s="4" t="s">
        <v>52</v>
      </c>
      <c r="J64" s="4" t="s">
        <v>53</v>
      </c>
    </row>
    <row r="65" spans="1:10" x14ac:dyDescent="0.25">
      <c r="A65" s="4" t="s">
        <v>50</v>
      </c>
      <c r="B65" s="4">
        <v>26936</v>
      </c>
      <c r="C65" s="13">
        <v>0</v>
      </c>
      <c r="D65" s="4">
        <f>+B65*C65</f>
        <v>0</v>
      </c>
      <c r="G65" s="4" t="s">
        <v>50</v>
      </c>
      <c r="H65" s="4">
        <v>26936</v>
      </c>
      <c r="I65" s="13">
        <v>0</v>
      </c>
      <c r="J65" s="4">
        <f>+H65*I65</f>
        <v>0</v>
      </c>
    </row>
    <row r="66" spans="1:10" x14ac:dyDescent="0.25">
      <c r="A66" s="4" t="s">
        <v>54</v>
      </c>
      <c r="B66" s="4">
        <f>38480-B65</f>
        <v>11544</v>
      </c>
      <c r="C66" s="13">
        <v>0.1</v>
      </c>
      <c r="D66" s="4">
        <f>+B66*C66</f>
        <v>1154.4000000000001</v>
      </c>
      <c r="G66" s="4" t="s">
        <v>170</v>
      </c>
      <c r="H66" s="4">
        <f>32118-H65</f>
        <v>5182</v>
      </c>
      <c r="I66" s="13">
        <v>0.1</v>
      </c>
      <c r="J66" s="4">
        <f>+H66*I66</f>
        <v>518.20000000000005</v>
      </c>
    </row>
    <row r="67" spans="1:10" x14ac:dyDescent="0.25">
      <c r="A67" s="4" t="s">
        <v>166</v>
      </c>
      <c r="B67" s="4">
        <f>40980-B66-B65</f>
        <v>2500</v>
      </c>
      <c r="C67" s="13">
        <v>0.15</v>
      </c>
      <c r="D67" s="4">
        <f>+B67*C67</f>
        <v>375</v>
      </c>
      <c r="G67" s="4"/>
      <c r="H67" s="4"/>
      <c r="I67" s="13"/>
      <c r="J67" s="4"/>
    </row>
    <row r="68" spans="1:10" x14ac:dyDescent="0.25">
      <c r="A68" s="4"/>
      <c r="B68" s="4"/>
      <c r="C68" s="13"/>
      <c r="D68" s="4"/>
      <c r="G68" s="4"/>
      <c r="H68" s="4"/>
      <c r="I68" s="13"/>
      <c r="J68" s="4"/>
    </row>
    <row r="69" spans="1:10" x14ac:dyDescent="0.25">
      <c r="A69" s="4"/>
      <c r="B69" s="4"/>
      <c r="C69" s="5" t="s">
        <v>57</v>
      </c>
      <c r="D69" s="5">
        <f>SUM(D65:D68)</f>
        <v>1529.4</v>
      </c>
      <c r="G69" s="4"/>
      <c r="H69" s="4"/>
      <c r="I69" s="5" t="s">
        <v>57</v>
      </c>
      <c r="J69" s="5">
        <f>SUM(J65:J68)</f>
        <v>518.20000000000005</v>
      </c>
    </row>
    <row r="71" spans="1:10" x14ac:dyDescent="0.25">
      <c r="A71" t="s">
        <v>58</v>
      </c>
      <c r="G71" t="s">
        <v>58</v>
      </c>
    </row>
    <row r="72" spans="1:10" x14ac:dyDescent="0.25">
      <c r="A72" t="s">
        <v>167</v>
      </c>
      <c r="G72" t="s">
        <v>171</v>
      </c>
    </row>
    <row r="74" spans="1:10" x14ac:dyDescent="0.25">
      <c r="A74" t="s">
        <v>60</v>
      </c>
      <c r="C74" s="10">
        <f>+D52+D53+D54</f>
        <v>8861.8731000000007</v>
      </c>
      <c r="G74" t="s">
        <v>60</v>
      </c>
      <c r="I74" s="10">
        <f>+D44</f>
        <v>0</v>
      </c>
    </row>
    <row r="75" spans="1:10" x14ac:dyDescent="0.25">
      <c r="A75" t="s">
        <v>61</v>
      </c>
      <c r="C75" s="11">
        <v>0</v>
      </c>
      <c r="G75" t="s">
        <v>61</v>
      </c>
      <c r="I75" s="11">
        <v>0</v>
      </c>
    </row>
    <row r="76" spans="1:10" x14ac:dyDescent="0.25">
      <c r="C76" s="10">
        <f>SUM(C74:C75)</f>
        <v>8861.8731000000007</v>
      </c>
      <c r="I76" s="10">
        <f>SUM(I74:I75)</f>
        <v>0</v>
      </c>
    </row>
    <row r="77" spans="1:10" x14ac:dyDescent="0.25">
      <c r="C77" s="8">
        <v>0.1</v>
      </c>
      <c r="I77" s="8">
        <v>0.1</v>
      </c>
    </row>
    <row r="78" spans="1:10" x14ac:dyDescent="0.25">
      <c r="B78" s="14" t="s">
        <v>63</v>
      </c>
      <c r="C78" s="24">
        <f>+C76*C77</f>
        <v>886.18731000000014</v>
      </c>
      <c r="H78" s="14" t="s">
        <v>63</v>
      </c>
      <c r="I78" s="24">
        <f>+I76*I77</f>
        <v>0</v>
      </c>
    </row>
    <row r="80" spans="1:10" x14ac:dyDescent="0.25">
      <c r="A80" s="4" t="s">
        <v>64</v>
      </c>
      <c r="B80" s="4" t="s">
        <v>65</v>
      </c>
      <c r="C80" s="4"/>
      <c r="G80" s="4" t="s">
        <v>64</v>
      </c>
      <c r="H80" s="4" t="s">
        <v>65</v>
      </c>
      <c r="I80" s="4"/>
    </row>
    <row r="81" spans="1:9" x14ac:dyDescent="0.25">
      <c r="A81" s="25">
        <f>+B81-C81</f>
        <v>643.21268999999995</v>
      </c>
      <c r="B81" s="25">
        <f>+D69</f>
        <v>1529.4</v>
      </c>
      <c r="C81" s="25">
        <f>+C78</f>
        <v>886.18731000000014</v>
      </c>
      <c r="G81" s="25">
        <f>+H81-I81</f>
        <v>518.20000000000005</v>
      </c>
      <c r="H81" s="25">
        <f>+J69</f>
        <v>518.20000000000005</v>
      </c>
      <c r="I81" s="25">
        <f>+I78</f>
        <v>0</v>
      </c>
    </row>
  </sheetData>
  <printOptions horizontalCentered="1"/>
  <pageMargins left="0.31496062992125984" right="0.31496062992125984" top="0.35433070866141736" bottom="0.35433070866141736" header="0.31496062992125984" footer="0.31496062992125984"/>
  <pageSetup paperSize="9" scale="67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workbookViewId="0">
      <selection activeCell="G7" sqref="G7"/>
    </sheetView>
  </sheetViews>
  <sheetFormatPr baseColWidth="10" defaultRowHeight="15" x14ac:dyDescent="0.25"/>
  <cols>
    <col min="1" max="1" width="15.28515625" customWidth="1"/>
    <col min="3" max="3" width="13.140625" bestFit="1" customWidth="1"/>
  </cols>
  <sheetData>
    <row r="1" spans="1:5" x14ac:dyDescent="0.25">
      <c r="B1" s="1" t="s">
        <v>1</v>
      </c>
    </row>
    <row r="3" spans="1:5" x14ac:dyDescent="0.25">
      <c r="A3" s="2" t="s">
        <v>172</v>
      </c>
    </row>
    <row r="5" spans="1:5" x14ac:dyDescent="0.25">
      <c r="A5" t="s">
        <v>40</v>
      </c>
      <c r="B5">
        <v>40000</v>
      </c>
    </row>
    <row r="6" spans="1:5" x14ac:dyDescent="0.25">
      <c r="A6" t="s">
        <v>67</v>
      </c>
      <c r="B6" s="15" t="s">
        <v>173</v>
      </c>
    </row>
    <row r="7" spans="1:5" x14ac:dyDescent="0.25">
      <c r="A7" t="s">
        <v>174</v>
      </c>
      <c r="B7" s="15"/>
    </row>
    <row r="9" spans="1:5" x14ac:dyDescent="0.25">
      <c r="C9" t="s">
        <v>28</v>
      </c>
      <c r="D9" t="s">
        <v>29</v>
      </c>
    </row>
    <row r="10" spans="1:5" x14ac:dyDescent="0.25">
      <c r="A10" s="1" t="s">
        <v>175</v>
      </c>
      <c r="C10" s="16">
        <f>(40000*6)/12</f>
        <v>20000</v>
      </c>
      <c r="E10" t="s">
        <v>176</v>
      </c>
    </row>
    <row r="11" spans="1:5" x14ac:dyDescent="0.25">
      <c r="E11" s="3" t="s">
        <v>177</v>
      </c>
    </row>
    <row r="12" spans="1:5" x14ac:dyDescent="0.25">
      <c r="A12" t="s">
        <v>33</v>
      </c>
      <c r="B12" s="8">
        <v>0.15</v>
      </c>
      <c r="C12" s="10"/>
      <c r="D12" s="10">
        <f>+C10*0.15</f>
        <v>3000</v>
      </c>
    </row>
    <row r="13" spans="1:5" x14ac:dyDescent="0.25">
      <c r="A13" t="s">
        <v>34</v>
      </c>
      <c r="B13" s="22">
        <v>4.4999999999999998E-2</v>
      </c>
      <c r="C13" s="10"/>
      <c r="D13" s="10">
        <f>+C10*0.045</f>
        <v>900</v>
      </c>
    </row>
    <row r="14" spans="1:5" x14ac:dyDescent="0.25">
      <c r="A14" t="s">
        <v>35</v>
      </c>
      <c r="B14" s="9">
        <v>1.25E-3</v>
      </c>
      <c r="C14" s="10"/>
      <c r="D14" s="10">
        <f>+C10*0.00125</f>
        <v>25</v>
      </c>
    </row>
    <row r="15" spans="1:5" x14ac:dyDescent="0.25">
      <c r="A15" t="s">
        <v>36</v>
      </c>
      <c r="C15" s="10"/>
      <c r="D15" s="11">
        <v>0</v>
      </c>
    </row>
    <row r="16" spans="1:5" x14ac:dyDescent="0.25">
      <c r="A16" t="s">
        <v>37</v>
      </c>
      <c r="C16" s="10"/>
      <c r="D16" s="10">
        <f>SUM(D12:D15)</f>
        <v>3925</v>
      </c>
    </row>
    <row r="17" spans="1:5" x14ac:dyDescent="0.25">
      <c r="C17" s="10"/>
      <c r="D17" s="10"/>
    </row>
    <row r="18" spans="1:5" x14ac:dyDescent="0.25">
      <c r="A18" s="1" t="s">
        <v>83</v>
      </c>
      <c r="B18" s="1"/>
      <c r="C18" s="12">
        <f>+C10-D16</f>
        <v>16075</v>
      </c>
      <c r="D18" s="10"/>
    </row>
    <row r="21" spans="1:5" x14ac:dyDescent="0.25">
      <c r="A21" s="1" t="s">
        <v>139</v>
      </c>
      <c r="D21" s="17" t="s">
        <v>148</v>
      </c>
      <c r="E21" s="18"/>
    </row>
    <row r="22" spans="1:5" x14ac:dyDescent="0.25">
      <c r="D22" s="19" t="s">
        <v>85</v>
      </c>
      <c r="E22" s="20"/>
    </row>
    <row r="24" spans="1:5" x14ac:dyDescent="0.25">
      <c r="A24" t="s">
        <v>178</v>
      </c>
    </row>
    <row r="25" spans="1:5" x14ac:dyDescent="0.25">
      <c r="A25" t="s">
        <v>179</v>
      </c>
    </row>
    <row r="26" spans="1:5" x14ac:dyDescent="0.25">
      <c r="A26" t="s">
        <v>180</v>
      </c>
    </row>
    <row r="27" spans="1:5" x14ac:dyDescent="0.25">
      <c r="A27" s="3" t="s">
        <v>181</v>
      </c>
    </row>
    <row r="29" spans="1:5" x14ac:dyDescent="0.25">
      <c r="A29" t="s">
        <v>90</v>
      </c>
    </row>
    <row r="30" spans="1:5" x14ac:dyDescent="0.25">
      <c r="A30" t="s">
        <v>91</v>
      </c>
    </row>
    <row r="31" spans="1:5" x14ac:dyDescent="0.25">
      <c r="A31" s="3" t="s">
        <v>182</v>
      </c>
    </row>
    <row r="33" spans="1:4" x14ac:dyDescent="0.25">
      <c r="A33" t="s">
        <v>94</v>
      </c>
    </row>
    <row r="34" spans="1:4" x14ac:dyDescent="0.25">
      <c r="A34" t="s">
        <v>95</v>
      </c>
      <c r="B34">
        <v>1333.33</v>
      </c>
      <c r="C34">
        <v>23</v>
      </c>
      <c r="D34" s="21">
        <f>+B34*C34</f>
        <v>30666.589999999997</v>
      </c>
    </row>
    <row r="36" spans="1:4" x14ac:dyDescent="0.25">
      <c r="A36" t="s">
        <v>96</v>
      </c>
    </row>
    <row r="37" spans="1:4" x14ac:dyDescent="0.25">
      <c r="A37" t="s">
        <v>97</v>
      </c>
    </row>
    <row r="38" spans="1:4" x14ac:dyDescent="0.25">
      <c r="A38" t="s">
        <v>183</v>
      </c>
    </row>
    <row r="40" spans="1:4" x14ac:dyDescent="0.25">
      <c r="A40" t="s">
        <v>99</v>
      </c>
      <c r="B40">
        <v>1071.6600000000001</v>
      </c>
      <c r="C40">
        <v>23</v>
      </c>
      <c r="D40" s="21">
        <f>+B40*C40</f>
        <v>24648.18</v>
      </c>
    </row>
    <row r="43" spans="1:4" x14ac:dyDescent="0.25">
      <c r="A43" s="1" t="s">
        <v>100</v>
      </c>
    </row>
    <row r="44" spans="1:4" x14ac:dyDescent="0.25">
      <c r="C44" t="s">
        <v>28</v>
      </c>
      <c r="D44" t="s">
        <v>29</v>
      </c>
    </row>
    <row r="45" spans="1:4" x14ac:dyDescent="0.25">
      <c r="A45" t="s">
        <v>101</v>
      </c>
      <c r="C45" s="10">
        <f>+D40</f>
        <v>24648.18</v>
      </c>
    </row>
    <row r="46" spans="1:4" x14ac:dyDescent="0.25">
      <c r="A46" t="s">
        <v>103</v>
      </c>
      <c r="D46">
        <v>0</v>
      </c>
    </row>
    <row r="47" spans="1:4" x14ac:dyDescent="0.25">
      <c r="A47" t="s">
        <v>36</v>
      </c>
      <c r="D47">
        <v>0</v>
      </c>
    </row>
    <row r="48" spans="1:4" x14ac:dyDescent="0.25">
      <c r="A48" t="s">
        <v>102</v>
      </c>
      <c r="C48" s="10">
        <f>+C45-D46-D47</f>
        <v>24648.18</v>
      </c>
    </row>
    <row r="50" spans="1:4" x14ac:dyDescent="0.25">
      <c r="A50" s="1" t="s">
        <v>104</v>
      </c>
    </row>
    <row r="51" spans="1:4" x14ac:dyDescent="0.25">
      <c r="C51" t="s">
        <v>28</v>
      </c>
      <c r="D51" t="s">
        <v>29</v>
      </c>
    </row>
    <row r="52" spans="1:4" x14ac:dyDescent="0.25">
      <c r="A52" t="s">
        <v>93</v>
      </c>
      <c r="B52" t="s">
        <v>184</v>
      </c>
      <c r="C52" s="10">
        <f>+D34</f>
        <v>30666.589999999997</v>
      </c>
    </row>
    <row r="54" spans="1:4" x14ac:dyDescent="0.25">
      <c r="A54" t="s">
        <v>33</v>
      </c>
      <c r="B54" s="8">
        <v>0.15</v>
      </c>
      <c r="C54" s="10"/>
      <c r="D54" s="10">
        <f>+C52*0.15</f>
        <v>4599.9884999999995</v>
      </c>
    </row>
    <row r="55" spans="1:4" x14ac:dyDescent="0.25">
      <c r="A55" t="s">
        <v>34</v>
      </c>
      <c r="B55" s="22">
        <v>4.4999999999999998E-2</v>
      </c>
      <c r="C55" s="10"/>
      <c r="D55" s="10">
        <f>+C52*0.045</f>
        <v>1379.9965499999998</v>
      </c>
    </row>
    <row r="56" spans="1:4" x14ac:dyDescent="0.25">
      <c r="A56" t="s">
        <v>35</v>
      </c>
      <c r="B56" s="9">
        <v>1.25E-3</v>
      </c>
      <c r="C56" s="10"/>
      <c r="D56" s="10">
        <f>+C52*0.00125</f>
        <v>38.333237499999996</v>
      </c>
    </row>
    <row r="57" spans="1:4" x14ac:dyDescent="0.25">
      <c r="A57" t="s">
        <v>36</v>
      </c>
      <c r="C57" s="10"/>
      <c r="D57" s="11">
        <v>0</v>
      </c>
    </row>
    <row r="58" spans="1:4" x14ac:dyDescent="0.25">
      <c r="A58" t="s">
        <v>37</v>
      </c>
      <c r="C58" s="10"/>
      <c r="D58" s="10">
        <f>SUM(D54:D57)</f>
        <v>6018.3182874999993</v>
      </c>
    </row>
    <row r="59" spans="1:4" x14ac:dyDescent="0.25">
      <c r="C59" s="10"/>
      <c r="D59" s="10"/>
    </row>
    <row r="60" spans="1:4" x14ac:dyDescent="0.25">
      <c r="A60" s="1" t="s">
        <v>106</v>
      </c>
      <c r="B60" s="1"/>
      <c r="C60" s="12">
        <f>+C52-D58</f>
        <v>24648.271712499998</v>
      </c>
      <c r="D60" s="10"/>
    </row>
    <row r="63" spans="1:4" x14ac:dyDescent="0.25">
      <c r="A63" s="1" t="s">
        <v>168</v>
      </c>
    </row>
    <row r="64" spans="1:4" x14ac:dyDescent="0.25">
      <c r="A64" t="s">
        <v>48</v>
      </c>
    </row>
    <row r="66" spans="1:4" x14ac:dyDescent="0.25">
      <c r="A66" s="5" t="s">
        <v>49</v>
      </c>
      <c r="B66" s="4" t="s">
        <v>51</v>
      </c>
      <c r="C66" s="4" t="s">
        <v>52</v>
      </c>
      <c r="D66" s="4" t="s">
        <v>53</v>
      </c>
    </row>
    <row r="67" spans="1:4" x14ac:dyDescent="0.25">
      <c r="A67" s="4" t="s">
        <v>50</v>
      </c>
      <c r="B67" s="4">
        <v>26936</v>
      </c>
      <c r="C67" s="13">
        <v>0</v>
      </c>
      <c r="D67" s="4">
        <f>+B67*C67</f>
        <v>0</v>
      </c>
    </row>
    <row r="68" spans="1:4" x14ac:dyDescent="0.25">
      <c r="A68" s="4" t="s">
        <v>185</v>
      </c>
      <c r="B68" s="4">
        <f>30667-B67</f>
        <v>3731</v>
      </c>
      <c r="C68" s="13">
        <v>0.1</v>
      </c>
      <c r="D68" s="4">
        <f>+B68*C68</f>
        <v>373.1</v>
      </c>
    </row>
    <row r="69" spans="1:4" x14ac:dyDescent="0.25">
      <c r="A69" s="4"/>
      <c r="B69" s="4"/>
      <c r="C69" s="13"/>
      <c r="D69" s="4">
        <f>+B69*C69</f>
        <v>0</v>
      </c>
    </row>
    <row r="70" spans="1:4" x14ac:dyDescent="0.25">
      <c r="A70" s="4"/>
      <c r="B70" s="4"/>
      <c r="C70" s="13"/>
      <c r="D70" s="4"/>
    </row>
    <row r="71" spans="1:4" x14ac:dyDescent="0.25">
      <c r="A71" s="4"/>
      <c r="B71" s="4"/>
      <c r="C71" s="5" t="s">
        <v>57</v>
      </c>
      <c r="D71" s="5">
        <f>SUM(D67:D70)</f>
        <v>373.1</v>
      </c>
    </row>
    <row r="73" spans="1:4" x14ac:dyDescent="0.25">
      <c r="A73" t="s">
        <v>58</v>
      </c>
    </row>
    <row r="74" spans="1:4" x14ac:dyDescent="0.25">
      <c r="A74" t="s">
        <v>186</v>
      </c>
    </row>
    <row r="76" spans="1:4" x14ac:dyDescent="0.25">
      <c r="A76" t="s">
        <v>60</v>
      </c>
      <c r="C76" s="10">
        <f>+D54+D55+D56</f>
        <v>6018.3182874999993</v>
      </c>
    </row>
    <row r="77" spans="1:4" x14ac:dyDescent="0.25">
      <c r="A77" t="s">
        <v>61</v>
      </c>
      <c r="C77" s="11">
        <v>0</v>
      </c>
    </row>
    <row r="78" spans="1:4" x14ac:dyDescent="0.25">
      <c r="C78" s="10">
        <f>SUM(C76:C77)</f>
        <v>6018.3182874999993</v>
      </c>
    </row>
    <row r="79" spans="1:4" x14ac:dyDescent="0.25">
      <c r="C79" s="8">
        <v>0.1</v>
      </c>
    </row>
    <row r="80" spans="1:4" x14ac:dyDescent="0.25">
      <c r="B80" s="14" t="s">
        <v>63</v>
      </c>
      <c r="C80" s="24">
        <f>+C78*C79</f>
        <v>601.83182875</v>
      </c>
    </row>
    <row r="82" spans="1:3" x14ac:dyDescent="0.25">
      <c r="A82" s="4" t="s">
        <v>64</v>
      </c>
      <c r="B82" s="4" t="s">
        <v>65</v>
      </c>
      <c r="C82" s="4"/>
    </row>
    <row r="83" spans="1:3" x14ac:dyDescent="0.25">
      <c r="A83" s="25">
        <f>+B83-C83</f>
        <v>-228.73182874999998</v>
      </c>
      <c r="B83" s="25">
        <f>+D71</f>
        <v>373.1</v>
      </c>
      <c r="C83" s="25">
        <f>+C80</f>
        <v>601.83182875</v>
      </c>
    </row>
    <row r="84" spans="1:3" x14ac:dyDescent="0.25">
      <c r="A84" t="s">
        <v>187</v>
      </c>
    </row>
  </sheetData>
  <printOptions horizontalCentered="1"/>
  <pageMargins left="0.31496062992125984" right="0.31496062992125984" top="0.35433070866141736" bottom="0.15748031496062992" header="0.31496062992125984" footer="0.31496062992125984"/>
  <pageSetup paperSize="9" scale="6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Ej 1</vt:lpstr>
      <vt:lpstr>Ej 2</vt:lpstr>
      <vt:lpstr>Ej 3</vt:lpstr>
      <vt:lpstr>Ej 4</vt:lpstr>
      <vt:lpstr>Ej 5</vt:lpstr>
      <vt:lpstr>Ej 6</vt:lpstr>
      <vt:lpstr>Ej 7</vt:lpstr>
      <vt:lpstr>Ej 8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Luffi</cp:lastModifiedBy>
  <cp:lastPrinted>2018-07-29T21:00:10Z</cp:lastPrinted>
  <dcterms:created xsi:type="dcterms:W3CDTF">2018-07-29T18:53:59Z</dcterms:created>
  <dcterms:modified xsi:type="dcterms:W3CDTF">2018-07-29T21:00:26Z</dcterms:modified>
</cp:coreProperties>
</file>